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1_KLIMA\1-2_THG-Emi-EU\"/>
    </mc:Choice>
  </mc:AlternateContent>
  <xr:revisionPtr revIDLastSave="0" documentId="13_ncr:1_{7A521E53-C7B3-4C1E-8313-751EF4C0A540}" xr6:coauthVersionLast="47" xr6:coauthVersionMax="47" xr10:uidLastSave="{00000000-0000-0000-0000-000000000000}"/>
  <bookViews>
    <workbookView xWindow="-108" yWindow="-108" windowWidth="23256" windowHeight="13680" xr2:uid="{00000000-000D-0000-FFFF-FFFF00000000}"/>
  </bookViews>
  <sheets>
    <sheet name="Tabelle1" sheetId="1" r:id="rId1"/>
  </sheets>
  <definedNames>
    <definedName name="Print_Area" localSheetId="0">Tabelle1!$A$1:$I$35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/>
  <c r="H31" i="1"/>
  <c r="H29" i="1"/>
  <c r="H8" i="1"/>
  <c r="H7" i="1"/>
  <c r="H9" i="1"/>
  <c r="H28" i="1"/>
  <c r="H10" i="1"/>
  <c r="H11" i="1"/>
  <c r="H12" i="1"/>
  <c r="H15" i="1"/>
  <c r="H30" i="1"/>
  <c r="H13" i="1"/>
  <c r="H14" i="1"/>
  <c r="H17" i="1"/>
  <c r="H18" i="1"/>
  <c r="H16" i="1"/>
  <c r="H19" i="1"/>
  <c r="H20" i="1"/>
  <c r="H22" i="1"/>
  <c r="H23" i="1"/>
  <c r="H24" i="1"/>
  <c r="H25" i="1"/>
  <c r="H27" i="1"/>
  <c r="H26" i="1"/>
  <c r="H32" i="1"/>
  <c r="H21" i="1"/>
  <c r="G15" i="1"/>
  <c r="G30" i="1"/>
  <c r="G13" i="1"/>
  <c r="G14" i="1"/>
  <c r="G17" i="1"/>
  <c r="G18" i="1"/>
  <c r="G16" i="1"/>
  <c r="G19" i="1"/>
  <c r="G20" i="1"/>
  <c r="G22" i="1"/>
  <c r="G23" i="1"/>
  <c r="G24" i="1"/>
  <c r="G25" i="1"/>
  <c r="G27" i="1"/>
  <c r="G26" i="1"/>
  <c r="G32" i="1"/>
  <c r="G5" i="1"/>
  <c r="G6" i="1"/>
  <c r="G31" i="1"/>
  <c r="G29" i="1"/>
  <c r="G8" i="1"/>
  <c r="G7" i="1"/>
  <c r="G9" i="1"/>
  <c r="G28" i="1"/>
  <c r="G10" i="1"/>
  <c r="G11" i="1"/>
  <c r="G12" i="1"/>
  <c r="G21" i="1"/>
  <c r="E26" i="1"/>
  <c r="D26" i="1"/>
  <c r="E27" i="1"/>
  <c r="D27" i="1"/>
  <c r="E25" i="1"/>
  <c r="D25" i="1"/>
  <c r="E24" i="1"/>
  <c r="D24" i="1"/>
  <c r="E23" i="1"/>
  <c r="D23" i="1"/>
  <c r="E22" i="1"/>
  <c r="D22" i="1"/>
  <c r="E20" i="1"/>
  <c r="D20" i="1"/>
  <c r="E19" i="1"/>
  <c r="D19" i="1"/>
  <c r="E16" i="1"/>
  <c r="D16" i="1"/>
  <c r="E18" i="1"/>
  <c r="D18" i="1"/>
  <c r="E17" i="1"/>
  <c r="D17" i="1"/>
  <c r="E14" i="1"/>
  <c r="D14" i="1"/>
  <c r="E13" i="1"/>
  <c r="D13" i="1"/>
  <c r="E30" i="1"/>
  <c r="D30" i="1"/>
  <c r="E15" i="1"/>
  <c r="D15" i="1"/>
  <c r="E12" i="1"/>
  <c r="D12" i="1"/>
  <c r="E11" i="1"/>
  <c r="D11" i="1"/>
  <c r="E10" i="1"/>
  <c r="D10" i="1"/>
  <c r="E28" i="1"/>
  <c r="D28" i="1"/>
  <c r="E9" i="1"/>
  <c r="D9" i="1"/>
  <c r="E7" i="1"/>
  <c r="D7" i="1"/>
  <c r="E8" i="1"/>
  <c r="D8" i="1"/>
  <c r="E29" i="1"/>
  <c r="D29" i="1"/>
  <c r="E31" i="1"/>
  <c r="D31" i="1"/>
  <c r="E6" i="1"/>
  <c r="D6" i="1"/>
  <c r="E5" i="1"/>
  <c r="D5" i="1"/>
  <c r="E21" i="1"/>
  <c r="D21" i="1"/>
  <c r="E32" i="1"/>
  <c r="D32" i="1"/>
  <c r="C32" i="1"/>
  <c r="C26" i="1"/>
  <c r="C27" i="1"/>
  <c r="C25" i="1"/>
  <c r="C24" i="1"/>
  <c r="C23" i="1"/>
  <c r="C22" i="1"/>
  <c r="C20" i="1"/>
  <c r="C19" i="1"/>
  <c r="C16" i="1"/>
  <c r="C18" i="1"/>
  <c r="C17" i="1"/>
  <c r="C14" i="1"/>
  <c r="C13" i="1"/>
  <c r="C30" i="1"/>
  <c r="C15" i="1"/>
  <c r="C12" i="1"/>
  <c r="C11" i="1"/>
  <c r="C10" i="1"/>
  <c r="C28" i="1"/>
  <c r="C9" i="1"/>
  <c r="C7" i="1"/>
  <c r="C8" i="1"/>
  <c r="C29" i="1"/>
  <c r="C31" i="1"/>
  <c r="C6" i="1"/>
  <c r="C5" i="1"/>
  <c r="C21" i="1"/>
  <c r="F32" i="1"/>
  <c r="F26" i="1" l="1"/>
  <c r="F27" i="1"/>
  <c r="F25" i="1"/>
  <c r="F24" i="1"/>
  <c r="F23" i="1"/>
  <c r="F22" i="1"/>
  <c r="F20" i="1"/>
  <c r="F19" i="1"/>
  <c r="F16" i="1"/>
  <c r="F18" i="1"/>
  <c r="F17" i="1"/>
  <c r="F14" i="1"/>
  <c r="F13" i="1"/>
  <c r="F30" i="1"/>
  <c r="F15" i="1"/>
  <c r="F12" i="1"/>
  <c r="F11" i="1"/>
  <c r="F10" i="1"/>
  <c r="F28" i="1"/>
  <c r="F9" i="1"/>
  <c r="F7" i="1"/>
  <c r="F8" i="1"/>
  <c r="F29" i="1"/>
  <c r="F31" i="1"/>
  <c r="F6" i="1"/>
  <c r="F5" i="1"/>
  <c r="F21" i="1"/>
</calcChain>
</file>

<file path=xl/sharedStrings.xml><?xml version="1.0" encoding="utf-8"?>
<sst xmlns="http://schemas.openxmlformats.org/spreadsheetml/2006/main" count="37" uniqueCount="37">
  <si>
    <t>Belgien</t>
  </si>
  <si>
    <t>Dänemark</t>
  </si>
  <si>
    <t>Deutschland</t>
  </si>
  <si>
    <t>Finnland</t>
  </si>
  <si>
    <t>Frankreich</t>
  </si>
  <si>
    <t>Griechenland</t>
  </si>
  <si>
    <t>Irland</t>
  </si>
  <si>
    <t>Italien</t>
  </si>
  <si>
    <t>Luxemburg</t>
  </si>
  <si>
    <t>Niederlande</t>
  </si>
  <si>
    <t>Österreich</t>
  </si>
  <si>
    <t>Portugal</t>
  </si>
  <si>
    <t>Schweden</t>
  </si>
  <si>
    <t>Spanien</t>
  </si>
  <si>
    <t>Bulgarien</t>
  </si>
  <si>
    <t>Estland</t>
  </si>
  <si>
    <t>Lettland</t>
  </si>
  <si>
    <t>Litauen</t>
  </si>
  <si>
    <t>Malta</t>
  </si>
  <si>
    <t>Polen</t>
  </si>
  <si>
    <t>Rumänien</t>
  </si>
  <si>
    <t>Slowakei</t>
  </si>
  <si>
    <t>Slowenien</t>
  </si>
  <si>
    <t>Ungarn</t>
  </si>
  <si>
    <t>Zypern</t>
  </si>
  <si>
    <t>Kroatien</t>
  </si>
  <si>
    <t>1990 
(Millionen Tonnen)</t>
  </si>
  <si>
    <t>Treibhausgas-Emissionen der Europäischen Union in Millionen Tonnen Kohlendioxid-Äquivalenten*</t>
  </si>
  <si>
    <t>* alle Angaben entsprechend der UNFCCC-Berichterstattung, ohne Emissionen aus der Kategorie LULUCF</t>
  </si>
  <si>
    <t>EU-27</t>
  </si>
  <si>
    <t>2023
(Millionen Tonnen)</t>
  </si>
  <si>
    <t>2024
 (Millionen Tonnen)</t>
  </si>
  <si>
    <t>Veränderung
2023-2024
(Millionen Tonnen)</t>
  </si>
  <si>
    <t>Veränderung
2023-2024
(Prozent)</t>
  </si>
  <si>
    <t>Veränderung
1990-2024
(Prozent)</t>
  </si>
  <si>
    <t>Tschechien</t>
  </si>
  <si>
    <t>Quelle: Europäische Umweltagentur - European Environment Agency (EEA), EEA greenhouse gas - data viewer
https://www.eea.europa.eu/data-and-maps/data/data-viewers/greenhouse-gases-viewer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</si>
</sst>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\ %"/>
    <numFmt numFmtId="166" formatCode="0.0%"/>
  </numFmts>
  <fonts count="10" x14ac:knownFonts="1">
    <font>
      <sz val="11"/>
      <color theme="1"/>
      <name val="Calibri"/>
      <family val="2"/>
      <scheme val="minor"/>
    </font>
    <font>
      <b/>
      <sz val="9"/>
      <color theme="0"/>
      <name val="Meta Offc"/>
      <family val="2"/>
    </font>
    <font>
      <sz val="9"/>
      <name val="Meta Offc"/>
      <family val="2"/>
    </font>
    <font>
      <b/>
      <sz val="12"/>
      <color theme="1"/>
      <name val="Meta Offc"/>
      <family val="2"/>
    </font>
    <font>
      <sz val="6"/>
      <name val="Meta Offc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name val="Meta Serif Offc"/>
    </font>
    <font>
      <sz val="11"/>
      <name val="Calibri"/>
      <family val="2"/>
    </font>
    <font>
      <b/>
      <sz val="9"/>
      <name val="Meta Offc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8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top"/>
    </xf>
    <xf numFmtId="0" fontId="0" fillId="3" borderId="0" xfId="0" applyFill="1"/>
    <xf numFmtId="0" fontId="3" fillId="3" borderId="0" xfId="0" applyFont="1" applyFill="1" applyBorder="1" applyAlignment="1">
      <alignment horizontal="left" vertical="top"/>
    </xf>
    <xf numFmtId="0" fontId="6" fillId="3" borderId="0" xfId="0" applyFont="1" applyFill="1"/>
    <xf numFmtId="0" fontId="4" fillId="3" borderId="0" xfId="0" applyFont="1" applyFill="1" applyBorder="1" applyAlignment="1">
      <alignment horizontal="left" vertical="top"/>
    </xf>
    <xf numFmtId="0" fontId="0" fillId="3" borderId="0" xfId="0" applyFill="1" applyAlignment="1">
      <alignment horizontal="right"/>
    </xf>
    <xf numFmtId="0" fontId="7" fillId="3" borderId="0" xfId="0" applyFont="1" applyFill="1" applyBorder="1" applyAlignment="1">
      <alignment horizontal="right" vertical="top" wrapText="1"/>
    </xf>
    <xf numFmtId="166" fontId="0" fillId="3" borderId="0" xfId="1" applyNumberFormat="1" applyFont="1" applyFill="1"/>
    <xf numFmtId="0" fontId="1" fillId="2" borderId="3" xfId="0" applyFont="1" applyFill="1" applyBorder="1" applyAlignment="1">
      <alignment horizontal="left" vertical="center" wrapText="1"/>
    </xf>
    <xf numFmtId="164" fontId="2" fillId="3" borderId="4" xfId="0" applyNumberFormat="1" applyFont="1" applyFill="1" applyBorder="1" applyAlignment="1">
      <alignment horizontal="right" vertical="center" wrapText="1" indent="3"/>
    </xf>
    <xf numFmtId="165" fontId="2" fillId="3" borderId="4" xfId="1" applyNumberFormat="1" applyFont="1" applyFill="1" applyBorder="1" applyAlignment="1">
      <alignment horizontal="right" vertical="center" wrapText="1" indent="3"/>
    </xf>
    <xf numFmtId="165" fontId="2" fillId="3" borderId="5" xfId="1" applyNumberFormat="1" applyFont="1" applyFill="1" applyBorder="1" applyAlignment="1">
      <alignment horizontal="right" vertical="center" wrapText="1" indent="3"/>
    </xf>
    <xf numFmtId="164" fontId="2" fillId="4" borderId="4" xfId="0" applyNumberFormat="1" applyFont="1" applyFill="1" applyBorder="1" applyAlignment="1">
      <alignment horizontal="right" vertical="center" wrapText="1" indent="3"/>
    </xf>
    <xf numFmtId="165" fontId="2" fillId="4" borderId="5" xfId="1" applyNumberFormat="1" applyFont="1" applyFill="1" applyBorder="1" applyAlignment="1">
      <alignment horizontal="right" vertical="center" wrapText="1" indent="3"/>
    </xf>
    <xf numFmtId="164" fontId="1" fillId="2" borderId="4" xfId="0" applyNumberFormat="1" applyFont="1" applyFill="1" applyBorder="1" applyAlignment="1">
      <alignment horizontal="right" vertical="center" wrapText="1" indent="3"/>
    </xf>
    <xf numFmtId="165" fontId="1" fillId="2" borderId="5" xfId="1" applyNumberFormat="1" applyFont="1" applyFill="1" applyBorder="1" applyAlignment="1">
      <alignment horizontal="right" vertical="center" wrapText="1" indent="3"/>
    </xf>
    <xf numFmtId="0" fontId="9" fillId="3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165" fontId="2" fillId="4" borderId="4" xfId="1" applyNumberFormat="1" applyFont="1" applyFill="1" applyBorder="1" applyAlignment="1">
      <alignment horizontal="right" vertical="center" wrapText="1" indent="3"/>
    </xf>
    <xf numFmtId="0" fontId="4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right" vertical="top" wrapText="1"/>
    </xf>
  </cellXfs>
  <cellStyles count="3">
    <cellStyle name="Prozent" xfId="1" builtinId="5"/>
    <cellStyle name="Standard" xfId="0" builtinId="0"/>
    <cellStyle name="Standard 2" xfId="2" xr:uid="{00000000-0005-0000-0000-00002F000000}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161925</xdr:rowOff>
    </xdr:from>
    <xdr:to>
      <xdr:col>8</xdr:col>
      <xdr:colOff>9525</xdr:colOff>
      <xdr:row>1</xdr:row>
      <xdr:rowOff>161925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371475" y="352425"/>
          <a:ext cx="234124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8"/>
  <sheetViews>
    <sheetView showGridLines="0" tabSelected="1" topLeftCell="A21" zoomScale="120" zoomScaleNormal="120" zoomScaleSheetLayoutView="100" workbookViewId="0">
      <selection activeCell="F27" sqref="F27"/>
    </sheetView>
  </sheetViews>
  <sheetFormatPr baseColWidth="10" defaultColWidth="11.44140625" defaultRowHeight="14.4" x14ac:dyDescent="0.3"/>
  <cols>
    <col min="1" max="1" width="3.109375" style="4" customWidth="1"/>
    <col min="2" max="2" width="18.33203125" style="4" customWidth="1"/>
    <col min="3" max="8" width="17.33203125" style="4" customWidth="1"/>
    <col min="9" max="9" width="3.109375" style="4" customWidth="1"/>
    <col min="10" max="16384" width="11.44140625" style="4"/>
  </cols>
  <sheetData>
    <row r="1" spans="2:8" ht="4.5" customHeight="1" x14ac:dyDescent="0.3"/>
    <row r="2" spans="2:8" ht="14.25" customHeight="1" x14ac:dyDescent="0.3">
      <c r="B2" s="3"/>
    </row>
    <row r="3" spans="2:8" ht="22.5" customHeight="1" x14ac:dyDescent="0.3">
      <c r="B3" s="5" t="s">
        <v>27</v>
      </c>
      <c r="C3" s="5"/>
      <c r="D3" s="5"/>
      <c r="E3" s="5"/>
      <c r="F3" s="5"/>
      <c r="G3" s="5"/>
      <c r="H3" s="5"/>
    </row>
    <row r="4" spans="2:8" ht="41.25" customHeight="1" x14ac:dyDescent="0.3">
      <c r="B4" s="1"/>
      <c r="C4" s="2" t="s">
        <v>26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</row>
    <row r="5" spans="2:8" ht="18.75" customHeight="1" x14ac:dyDescent="0.3">
      <c r="B5" s="20" t="s">
        <v>0</v>
      </c>
      <c r="C5" s="15">
        <f>145466.65224/1000</f>
        <v>145.46665224</v>
      </c>
      <c r="D5" s="15">
        <f>97814.74437/1000</f>
        <v>97.81474437</v>
      </c>
      <c r="E5" s="15">
        <f>98012.40916/1000</f>
        <v>98.01240915999999</v>
      </c>
      <c r="F5" s="15">
        <f>E5-D5</f>
        <v>0.19766478999999038</v>
      </c>
      <c r="G5" s="21">
        <f>(E5-D5)/D5</f>
        <v>2.0208077143491938E-3</v>
      </c>
      <c r="H5" s="16">
        <f>(E5-C5)/C5</f>
        <v>-0.3262207684666244</v>
      </c>
    </row>
    <row r="6" spans="2:8" ht="18.75" customHeight="1" x14ac:dyDescent="0.3">
      <c r="B6" s="19" t="s">
        <v>14</v>
      </c>
      <c r="C6" s="12">
        <f>100196.99332/1000</f>
        <v>100.19699331999999</v>
      </c>
      <c r="D6" s="12">
        <f>45695.01008/1000</f>
        <v>45.695010080000003</v>
      </c>
      <c r="E6" s="12">
        <f>43376.31129/1000</f>
        <v>43.376311289999997</v>
      </c>
      <c r="F6" s="12">
        <f>E6-D6</f>
        <v>-2.3186987900000062</v>
      </c>
      <c r="G6" s="13">
        <f>(E6-D6)/D6</f>
        <v>-5.0742932016878246E-2</v>
      </c>
      <c r="H6" s="14">
        <f>(E6-C6)/C6</f>
        <v>-0.56708969148935739</v>
      </c>
    </row>
    <row r="7" spans="2:8" ht="18.75" customHeight="1" x14ac:dyDescent="0.3">
      <c r="B7" s="20" t="s">
        <v>1</v>
      </c>
      <c r="C7" s="15">
        <f>72049.45639/1000</f>
        <v>72.049456390000003</v>
      </c>
      <c r="D7" s="15">
        <f>39073.22528/1000</f>
        <v>39.073225279999996</v>
      </c>
      <c r="E7" s="15">
        <f>36751.54201/1000</f>
        <v>36.751542009999994</v>
      </c>
      <c r="F7" s="15">
        <f>E7-D7</f>
        <v>-2.3216832700000012</v>
      </c>
      <c r="G7" s="21">
        <f>(E7-D7)/D7</f>
        <v>-5.9418777266599922E-2</v>
      </c>
      <c r="H7" s="16">
        <f>(E7-C7)/C7</f>
        <v>-0.48991229286913995</v>
      </c>
    </row>
    <row r="8" spans="2:8" ht="18.75" customHeight="1" x14ac:dyDescent="0.3">
      <c r="B8" s="19" t="s">
        <v>2</v>
      </c>
      <c r="C8" s="12">
        <f>1253127.91827/1000</f>
        <v>1253.12791827</v>
      </c>
      <c r="D8" s="12">
        <f>669578.36047/1000</f>
        <v>669.57836047000001</v>
      </c>
      <c r="E8" s="12">
        <f>649769.51839/1000</f>
        <v>649.76951839000003</v>
      </c>
      <c r="F8" s="12">
        <f>E8-D8</f>
        <v>-19.808842079999977</v>
      </c>
      <c r="G8" s="13">
        <f>(E8-D8)/D8</f>
        <v>-2.9584053561849687E-2</v>
      </c>
      <c r="H8" s="14">
        <f>(E8-C8)/C8</f>
        <v>-0.48148189110092099</v>
      </c>
    </row>
    <row r="9" spans="2:8" ht="18.75" customHeight="1" x14ac:dyDescent="0.3">
      <c r="B9" s="20" t="s">
        <v>15</v>
      </c>
      <c r="C9" s="15">
        <f>40342.40085/1000</f>
        <v>40.342400849999997</v>
      </c>
      <c r="D9" s="15">
        <f>10887.96655/1000</f>
        <v>10.88796655</v>
      </c>
      <c r="E9" s="15">
        <f>10240.61556/1000</f>
        <v>10.24061556</v>
      </c>
      <c r="F9" s="15">
        <f>E9-D9</f>
        <v>-0.64735098999999963</v>
      </c>
      <c r="G9" s="21">
        <f>(E9-D9)/D9</f>
        <v>-5.9455637287937811E-2</v>
      </c>
      <c r="H9" s="16">
        <f>(E9-C9)/C9</f>
        <v>-0.74615750812460624</v>
      </c>
    </row>
    <row r="10" spans="2:8" ht="18.75" customHeight="1" x14ac:dyDescent="0.3">
      <c r="B10" s="19" t="s">
        <v>3</v>
      </c>
      <c r="C10" s="12">
        <f>71844.12329/1000</f>
        <v>71.844123289999999</v>
      </c>
      <c r="D10" s="12">
        <f>41224.04638/1000</f>
        <v>41.224046379999997</v>
      </c>
      <c r="E10" s="12">
        <f>39283.3272/1000</f>
        <v>39.283327200000002</v>
      </c>
      <c r="F10" s="12">
        <f>E10-D10</f>
        <v>-1.940719179999995</v>
      </c>
      <c r="G10" s="13">
        <f>(E10-D10)/D10</f>
        <v>-4.7077357766159081E-2</v>
      </c>
      <c r="H10" s="14">
        <f>(E10-C10)/C10</f>
        <v>-0.45321446764083684</v>
      </c>
    </row>
    <row r="11" spans="2:8" ht="18.75" customHeight="1" x14ac:dyDescent="0.3">
      <c r="B11" s="20" t="s">
        <v>4</v>
      </c>
      <c r="C11" s="15">
        <f>546944.50739/1000</f>
        <v>546.94450739000001</v>
      </c>
      <c r="D11" s="15">
        <f>378228.57524/1000</f>
        <v>378.22857524</v>
      </c>
      <c r="E11" s="15">
        <f>367018.68107/1000</f>
        <v>367.01868107000001</v>
      </c>
      <c r="F11" s="15">
        <f>E11-D11</f>
        <v>-11.209894169999984</v>
      </c>
      <c r="G11" s="21">
        <f>(E11-D11)/D11</f>
        <v>-2.9637882761467435E-2</v>
      </c>
      <c r="H11" s="16">
        <f>(E11-C11)/C11</f>
        <v>-0.32896541402088436</v>
      </c>
    </row>
    <row r="12" spans="2:8" ht="18.75" customHeight="1" x14ac:dyDescent="0.3">
      <c r="B12" s="19" t="s">
        <v>5</v>
      </c>
      <c r="C12" s="12">
        <f>103984.43667/1000</f>
        <v>103.98443666999999</v>
      </c>
      <c r="D12" s="12">
        <f>71944.25191/1000</f>
        <v>71.944251910000006</v>
      </c>
      <c r="E12" s="12">
        <f>73281.52942/1000</f>
        <v>73.281529420000012</v>
      </c>
      <c r="F12" s="12">
        <f>E12-D12</f>
        <v>1.3372775100000069</v>
      </c>
      <c r="G12" s="13">
        <f>(E12-D12)/D12</f>
        <v>1.8587690809168451E-2</v>
      </c>
      <c r="H12" s="14">
        <f>(E12-C12)/C12</f>
        <v>-0.29526444757725862</v>
      </c>
    </row>
    <row r="13" spans="2:8" ht="18.75" customHeight="1" x14ac:dyDescent="0.3">
      <c r="B13" s="20" t="s">
        <v>6</v>
      </c>
      <c r="C13" s="15">
        <f>55750.79437/1000</f>
        <v>55.750794370000001</v>
      </c>
      <c r="D13" s="15">
        <f>54992.30082/1000</f>
        <v>54.992300819999997</v>
      </c>
      <c r="E13" s="15">
        <f>53930.93688/1000</f>
        <v>53.930936880000004</v>
      </c>
      <c r="F13" s="15">
        <f>E13-D13</f>
        <v>-1.0613639399999926</v>
      </c>
      <c r="G13" s="21">
        <f>(E13-D13)/D13</f>
        <v>-1.9300227925978831E-2</v>
      </c>
      <c r="H13" s="16">
        <f>(E13-C13)/C13</f>
        <v>-3.2642718557913113E-2</v>
      </c>
    </row>
    <row r="14" spans="2:8" ht="18.75" customHeight="1" x14ac:dyDescent="0.3">
      <c r="B14" s="19" t="s">
        <v>7</v>
      </c>
      <c r="C14" s="12">
        <f>520626.39079/1000</f>
        <v>520.62639078999996</v>
      </c>
      <c r="D14" s="12">
        <f>377139.2369/1000</f>
        <v>377.13923690000001</v>
      </c>
      <c r="E14" s="12">
        <f>363489.79848/1000</f>
        <v>363.48979847999999</v>
      </c>
      <c r="F14" s="12">
        <f>E14-D14</f>
        <v>-13.649438420000024</v>
      </c>
      <c r="G14" s="13">
        <f>(E14-D14)/D14</f>
        <v>-3.6192040192357992E-2</v>
      </c>
      <c r="H14" s="14">
        <f>(E14-C14)/C14</f>
        <v>-0.30182218014642026</v>
      </c>
    </row>
    <row r="15" spans="2:8" ht="18.75" customHeight="1" x14ac:dyDescent="0.3">
      <c r="B15" s="20" t="s">
        <v>25</v>
      </c>
      <c r="C15" s="15">
        <f>31446.32628/1000</f>
        <v>31.446326280000001</v>
      </c>
      <c r="D15" s="15">
        <f>25342.54712/1000</f>
        <v>25.342547119999999</v>
      </c>
      <c r="E15" s="15">
        <f>25275.41954/1000</f>
        <v>25.275419539999998</v>
      </c>
      <c r="F15" s="15">
        <f>E15-D15</f>
        <v>-6.7127580000001075E-2</v>
      </c>
      <c r="G15" s="21">
        <f>(E15-D15)/D15</f>
        <v>-2.6488095171390601E-3</v>
      </c>
      <c r="H15" s="16">
        <f>(E15-C15)/C15</f>
        <v>-0.196236173505734</v>
      </c>
    </row>
    <row r="16" spans="2:8" ht="18.75" customHeight="1" x14ac:dyDescent="0.3">
      <c r="B16" s="19" t="s">
        <v>16</v>
      </c>
      <c r="C16" s="12">
        <f>26046.25904/1000</f>
        <v>26.046259040000002</v>
      </c>
      <c r="D16" s="12">
        <f>9901.12273/1000</f>
        <v>9.9011227299999991</v>
      </c>
      <c r="E16" s="12">
        <f>9628.49305/1000</f>
        <v>9.6284930499999994</v>
      </c>
      <c r="F16" s="12">
        <f>E16-D16</f>
        <v>-0.27262967999999965</v>
      </c>
      <c r="G16" s="13">
        <f>(E16-D16)/D16</f>
        <v>-2.7535228825509132E-2</v>
      </c>
      <c r="H16" s="14">
        <f>(E16-C16)/C16</f>
        <v>-0.63033105693937697</v>
      </c>
    </row>
    <row r="17" spans="2:8" ht="18.75" customHeight="1" x14ac:dyDescent="0.3">
      <c r="B17" s="20" t="s">
        <v>17</v>
      </c>
      <c r="C17" s="15">
        <f>47494.5114/1000</f>
        <v>47.4945114</v>
      </c>
      <c r="D17" s="15">
        <f>17877.14839/1000</f>
        <v>17.877148389999999</v>
      </c>
      <c r="E17" s="15">
        <f>18307.06858/1000</f>
        <v>18.307068579999999</v>
      </c>
      <c r="F17" s="15">
        <f>E17-D17</f>
        <v>0.4299201900000007</v>
      </c>
      <c r="G17" s="21">
        <f>(E17-D17)/D17</f>
        <v>2.404858876936361E-2</v>
      </c>
      <c r="H17" s="16">
        <f>(E17-C17)/C17</f>
        <v>-0.61454349059794733</v>
      </c>
    </row>
    <row r="18" spans="2:8" ht="18.75" customHeight="1" x14ac:dyDescent="0.3">
      <c r="B18" s="19" t="s">
        <v>8</v>
      </c>
      <c r="C18" s="12">
        <f>12725.02085/1000</f>
        <v>12.72502085</v>
      </c>
      <c r="D18" s="12">
        <f>7813.22444/1000</f>
        <v>7.8132244399999999</v>
      </c>
      <c r="E18" s="12">
        <f>7496.95277/1000</f>
        <v>7.49695277</v>
      </c>
      <c r="F18" s="12">
        <f>E18-D18</f>
        <v>-0.31627166999999989</v>
      </c>
      <c r="G18" s="13">
        <f>(E18-D18)/D18</f>
        <v>-4.0479020208460809E-2</v>
      </c>
      <c r="H18" s="14">
        <f>(E18-C18)/C18</f>
        <v>-0.41084947063171218</v>
      </c>
    </row>
    <row r="19" spans="2:8" ht="18.75" customHeight="1" x14ac:dyDescent="0.3">
      <c r="B19" s="20" t="s">
        <v>18</v>
      </c>
      <c r="C19" s="15">
        <f>2624.68492/1000</f>
        <v>2.62468492</v>
      </c>
      <c r="D19" s="15">
        <f>2207.34199/1000</f>
        <v>2.2073419899999998</v>
      </c>
      <c r="E19" s="15">
        <f>2170.21093/1000</f>
        <v>2.1702109300000001</v>
      </c>
      <c r="F19" s="15">
        <f>E19-D19</f>
        <v>-3.713105999999966E-2</v>
      </c>
      <c r="G19" s="21">
        <f>(E19-D19)/D19</f>
        <v>-1.682161630060762E-2</v>
      </c>
      <c r="H19" s="16">
        <f>(E19-C19)/C19</f>
        <v>-0.17315373229637021</v>
      </c>
    </row>
    <row r="20" spans="2:8" ht="18.75" customHeight="1" x14ac:dyDescent="0.3">
      <c r="B20" s="19" t="s">
        <v>9</v>
      </c>
      <c r="C20" s="12">
        <f>222779.48382/1000</f>
        <v>222.77948382</v>
      </c>
      <c r="D20" s="12">
        <f>142804.0696/1000</f>
        <v>142.80406959999999</v>
      </c>
      <c r="E20" s="12">
        <f>140694.98271/1000</f>
        <v>140.69498271</v>
      </c>
      <c r="F20" s="12">
        <f>E20-D20</f>
        <v>-2.1090868899999862</v>
      </c>
      <c r="G20" s="13">
        <f>(E20-D20)/D20</f>
        <v>-1.4769095137888048E-2</v>
      </c>
      <c r="H20" s="14">
        <f>(E20-C20)/C20</f>
        <v>-0.36845628557215854</v>
      </c>
    </row>
    <row r="21" spans="2:8" ht="18.75" customHeight="1" x14ac:dyDescent="0.3">
      <c r="B21" s="20" t="s">
        <v>10</v>
      </c>
      <c r="C21" s="15">
        <f>79668.46338/1000</f>
        <v>79.668463380000006</v>
      </c>
      <c r="D21" s="15">
        <f>68674.0605/1000</f>
        <v>68.67406050000001</v>
      </c>
      <c r="E21" s="15">
        <f>66637.8313/1000</f>
        <v>66.637831300000002</v>
      </c>
      <c r="F21" s="15">
        <f>E21-D21</f>
        <v>-2.0362292000000082</v>
      </c>
      <c r="G21" s="21">
        <f>(E21-D21)/D21</f>
        <v>-2.9650630604549848E-2</v>
      </c>
      <c r="H21" s="16">
        <f>(E21-C21)/C21</f>
        <v>-0.16356073064754525</v>
      </c>
    </row>
    <row r="22" spans="2:8" ht="18.75" customHeight="1" x14ac:dyDescent="0.3">
      <c r="B22" s="19" t="s">
        <v>19</v>
      </c>
      <c r="C22" s="12">
        <f>475921.10477/1000</f>
        <v>475.92110477</v>
      </c>
      <c r="D22" s="12">
        <f>347307.53988/1000</f>
        <v>347.30753987999998</v>
      </c>
      <c r="E22" s="12">
        <f>341033.71388/1000</f>
        <v>341.03371387999999</v>
      </c>
      <c r="F22" s="12">
        <f>E22-D22</f>
        <v>-6.2738259999999855</v>
      </c>
      <c r="G22" s="13">
        <f>(E22-D22)/D22</f>
        <v>-1.8064180242581798E-2</v>
      </c>
      <c r="H22" s="14">
        <f>(E22-C22)/C22</f>
        <v>-0.28342384806655607</v>
      </c>
    </row>
    <row r="23" spans="2:8" ht="18.75" customHeight="1" x14ac:dyDescent="0.3">
      <c r="B23" s="20" t="s">
        <v>11</v>
      </c>
      <c r="C23" s="15">
        <f>58909.50008/1000</f>
        <v>58.909500080000001</v>
      </c>
      <c r="D23" s="15">
        <f>53086.18988/1000</f>
        <v>53.086189879999999</v>
      </c>
      <c r="E23" s="15">
        <f>51507.09273/1000</f>
        <v>51.507092729999997</v>
      </c>
      <c r="F23" s="15">
        <f>E23-D23</f>
        <v>-1.5790971500000026</v>
      </c>
      <c r="G23" s="21">
        <f>(E23-D23)/D23</f>
        <v>-2.9745912328036955E-2</v>
      </c>
      <c r="H23" s="16">
        <f>(E23-C23)/C23</f>
        <v>-0.12565727666925405</v>
      </c>
    </row>
    <row r="24" spans="2:8" ht="18.75" customHeight="1" x14ac:dyDescent="0.3">
      <c r="B24" s="19" t="s">
        <v>20</v>
      </c>
      <c r="C24" s="12">
        <f>254859.54577/1000</f>
        <v>254.85954577000001</v>
      </c>
      <c r="D24" s="12">
        <f>95762.85102/1000</f>
        <v>95.762851019999999</v>
      </c>
      <c r="E24" s="12">
        <f>95587.7805/1000</f>
        <v>95.587780499999994</v>
      </c>
      <c r="F24" s="12">
        <f>E24-D24</f>
        <v>-0.17507052000000556</v>
      </c>
      <c r="G24" s="13">
        <f>(E24-D24)/D24</f>
        <v>-1.8281673752950632E-3</v>
      </c>
      <c r="H24" s="14">
        <f>(E24-C24)/C24</f>
        <v>-0.62493937509304065</v>
      </c>
    </row>
    <row r="25" spans="2:8" ht="18.75" customHeight="1" x14ac:dyDescent="0.3">
      <c r="B25" s="20" t="s">
        <v>12</v>
      </c>
      <c r="C25" s="15">
        <f>71255.65482/1000</f>
        <v>71.25565481999999</v>
      </c>
      <c r="D25" s="15">
        <f>44233.57011/1000</f>
        <v>44.233570110000002</v>
      </c>
      <c r="E25" s="15">
        <f>47493.65524/1000</f>
        <v>47.493655240000002</v>
      </c>
      <c r="F25" s="15">
        <f>E25-D25</f>
        <v>3.2600851300000002</v>
      </c>
      <c r="G25" s="21">
        <f>(E25-D25)/D25</f>
        <v>7.370160540722405E-2</v>
      </c>
      <c r="H25" s="16">
        <f>(E25-C25)/C25</f>
        <v>-0.33347528192710518</v>
      </c>
    </row>
    <row r="26" spans="2:8" ht="18.75" customHeight="1" x14ac:dyDescent="0.3">
      <c r="B26" s="19" t="s">
        <v>21</v>
      </c>
      <c r="C26" s="12">
        <f>74254.38564/1000</f>
        <v>74.254385639999995</v>
      </c>
      <c r="D26" s="12">
        <f>36654.84454/1000</f>
        <v>36.654844539999999</v>
      </c>
      <c r="E26" s="12">
        <f>33918.02724/1000</f>
        <v>33.918027240000001</v>
      </c>
      <c r="F26" s="12">
        <f>E26-D26</f>
        <v>-2.7368172999999985</v>
      </c>
      <c r="G26" s="13">
        <f>(E26-D26)/D26</f>
        <v>-7.466454528305029E-2</v>
      </c>
      <c r="H26" s="14">
        <f>(E26-C26)/C26</f>
        <v>-0.5432185325127955</v>
      </c>
    </row>
    <row r="27" spans="2:8" ht="18.75" customHeight="1" x14ac:dyDescent="0.3">
      <c r="B27" s="20" t="s">
        <v>22</v>
      </c>
      <c r="C27" s="15">
        <f>18859.93252/1000</f>
        <v>18.859932519999997</v>
      </c>
      <c r="D27" s="15">
        <f>14870.19269/1000</f>
        <v>14.87019269</v>
      </c>
      <c r="E27" s="15">
        <f>15483.80569/1000</f>
        <v>15.483805689999999</v>
      </c>
      <c r="F27" s="15">
        <f>E27-D27</f>
        <v>0.61361299999999908</v>
      </c>
      <c r="G27" s="21">
        <f>(E27-D27)/D27</f>
        <v>4.1264630041589534E-2</v>
      </c>
      <c r="H27" s="16">
        <f>(E27-C27)/C27</f>
        <v>-0.17901054664006821</v>
      </c>
    </row>
    <row r="28" spans="2:8" ht="18.75" customHeight="1" x14ac:dyDescent="0.3">
      <c r="B28" s="19" t="s">
        <v>13</v>
      </c>
      <c r="C28" s="12">
        <f>284421.91593/1000</f>
        <v>284.42191593000001</v>
      </c>
      <c r="D28" s="12">
        <f>269968.94191/1000</f>
        <v>269.96894191000001</v>
      </c>
      <c r="E28" s="12">
        <f>267707.36473/1000</f>
        <v>267.70736472999999</v>
      </c>
      <c r="F28" s="12">
        <f>E28-D28</f>
        <v>-2.2615771800000175</v>
      </c>
      <c r="G28" s="13">
        <f>(E28-D28)/D28</f>
        <v>-8.3771754039542925E-3</v>
      </c>
      <c r="H28" s="14">
        <f>(E28-C28)/C28</f>
        <v>-5.8766748495266058E-2</v>
      </c>
    </row>
    <row r="29" spans="2:8" x14ac:dyDescent="0.3">
      <c r="B29" s="20" t="s">
        <v>35</v>
      </c>
      <c r="C29" s="15">
        <f>194794.93486/1000</f>
        <v>194.79493486000001</v>
      </c>
      <c r="D29" s="15">
        <f>102239.87711/1000</f>
        <v>102.23987710999999</v>
      </c>
      <c r="E29" s="15">
        <f>96597.15626/1000</f>
        <v>96.597156260000006</v>
      </c>
      <c r="F29" s="15">
        <f>E29-D29</f>
        <v>-5.6427208499999892</v>
      </c>
      <c r="G29" s="21">
        <f>(E29-D29)/D29</f>
        <v>-5.5190997969696107E-2</v>
      </c>
      <c r="H29" s="16">
        <f>(E29-C29)/C29</f>
        <v>-0.50410848039028933</v>
      </c>
    </row>
    <row r="30" spans="2:8" ht="18.75" customHeight="1" x14ac:dyDescent="0.3">
      <c r="B30" s="19" t="s">
        <v>23</v>
      </c>
      <c r="C30" s="12">
        <f>94930.4728/1000</f>
        <v>94.930472800000004</v>
      </c>
      <c r="D30" s="12">
        <f>54240.17127/1000</f>
        <v>54.240171269999998</v>
      </c>
      <c r="E30" s="12">
        <f>53659.11414/1000</f>
        <v>53.65911414</v>
      </c>
      <c r="F30" s="12">
        <f>E30-D30</f>
        <v>-0.58105712999999781</v>
      </c>
      <c r="G30" s="13">
        <f>(E30-D30)/D30</f>
        <v>-1.071267137243311E-2</v>
      </c>
      <c r="H30" s="14">
        <f>(E30-C30)/C30</f>
        <v>-0.43475353532632993</v>
      </c>
    </row>
    <row r="31" spans="2:8" ht="18.75" customHeight="1" x14ac:dyDescent="0.3">
      <c r="B31" s="20" t="s">
        <v>24</v>
      </c>
      <c r="C31" s="15">
        <f>5579.47844/1000</f>
        <v>5.5794784399999999</v>
      </c>
      <c r="D31" s="15">
        <f>8785.22649/1000</f>
        <v>8.7852264899999994</v>
      </c>
      <c r="E31" s="15">
        <f>8834.63652/1000</f>
        <v>8.8346365200000001</v>
      </c>
      <c r="F31" s="15">
        <f>E31-D31</f>
        <v>4.941003000000066E-2</v>
      </c>
      <c r="G31" s="21">
        <f>(E31-D31)/D31</f>
        <v>5.6242181184791131E-3</v>
      </c>
      <c r="H31" s="16">
        <f>(E31-C31)/C31</f>
        <v>0.58341619472231532</v>
      </c>
    </row>
    <row r="32" spans="2:8" s="6" customFormat="1" ht="18.75" customHeight="1" x14ac:dyDescent="0.3">
      <c r="B32" s="11" t="s">
        <v>29</v>
      </c>
      <c r="C32" s="17">
        <f>4866905.3489/1000</f>
        <v>4866.9053488999998</v>
      </c>
      <c r="D32" s="17">
        <f>3088346.63767/1000</f>
        <v>3088.3466376700003</v>
      </c>
      <c r="E32" s="17">
        <f>3017187.97526/1000</f>
        <v>3017.1879752600003</v>
      </c>
      <c r="F32" s="17">
        <f>E32-D32</f>
        <v>-71.158662410000034</v>
      </c>
      <c r="G32" s="18">
        <f t="shared" ref="G6:G32" si="0">(E32-D32)/D32</f>
        <v>-2.3041021866536851E-2</v>
      </c>
      <c r="H32" s="18">
        <f t="shared" ref="H6:H32" si="1">(E32-C32)/C32</f>
        <v>-0.38006027260383562</v>
      </c>
    </row>
    <row r="33" spans="2:8" ht="24.75" customHeight="1" x14ac:dyDescent="0.3">
      <c r="B33" s="7" t="s">
        <v>28</v>
      </c>
      <c r="E33" s="23" t="s">
        <v>36</v>
      </c>
      <c r="F33" s="23"/>
      <c r="G33" s="23"/>
      <c r="H33" s="23"/>
    </row>
    <row r="34" spans="2:8" ht="41.25" customHeight="1" x14ac:dyDescent="0.3">
      <c r="B34" s="22"/>
      <c r="C34" s="22"/>
      <c r="D34" s="22"/>
      <c r="E34" s="22"/>
      <c r="F34" s="8"/>
      <c r="G34" s="9"/>
      <c r="H34" s="9"/>
    </row>
    <row r="35" spans="2:8" ht="12" customHeight="1" x14ac:dyDescent="0.3"/>
    <row r="36" spans="2:8" ht="18.75" customHeight="1" x14ac:dyDescent="0.3">
      <c r="E36" s="10"/>
    </row>
    <row r="37" spans="2:8" ht="18.75" customHeight="1" x14ac:dyDescent="0.3"/>
    <row r="38" spans="2:8" ht="18.75" customHeight="1" x14ac:dyDescent="0.3"/>
    <row r="39" spans="2:8" ht="18.75" customHeight="1" x14ac:dyDescent="0.3"/>
    <row r="40" spans="2:8" ht="18.75" customHeight="1" x14ac:dyDescent="0.3"/>
    <row r="41" spans="2:8" ht="18.75" customHeight="1" x14ac:dyDescent="0.3"/>
    <row r="42" spans="2:8" ht="18.75" customHeight="1" x14ac:dyDescent="0.3"/>
    <row r="43" spans="2:8" ht="18.75" customHeight="1" x14ac:dyDescent="0.3"/>
    <row r="44" spans="2:8" ht="18.75" customHeight="1" x14ac:dyDescent="0.3"/>
    <row r="45" spans="2:8" ht="18.75" customHeight="1" x14ac:dyDescent="0.3"/>
    <row r="46" spans="2:8" ht="18.75" customHeight="1" x14ac:dyDescent="0.3"/>
    <row r="47" spans="2:8" ht="18.75" customHeight="1" x14ac:dyDescent="0.3"/>
    <row r="48" spans="2:8" ht="18.75" customHeight="1" x14ac:dyDescent="0.3"/>
  </sheetData>
  <sortState xmlns:xlrd2="http://schemas.microsoft.com/office/spreadsheetml/2017/richdata2" ref="B5:H31">
    <sortCondition ref="B5:B31"/>
  </sortState>
  <mergeCells count="2">
    <mergeCell ref="B34:E34"/>
    <mergeCell ref="E33:H33"/>
  </mergeCells>
  <pageMargins left="0.70866141732283472" right="0.70866141732283472" top="0.78740157480314965" bottom="0.78740157480314965" header="1.1811023622047245" footer="1.1811023622047245"/>
  <pageSetup paperSize="9" scale="70" orientation="portrait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Gniffke, Patrick</cp:lastModifiedBy>
  <cp:lastPrinted>2017-09-04T08:38:42Z</cp:lastPrinted>
  <dcterms:created xsi:type="dcterms:W3CDTF">2013-07-09T20:30:19Z</dcterms:created>
  <dcterms:modified xsi:type="dcterms:W3CDTF">2026-09-15T10:33:39Z</dcterms:modified>
</cp:coreProperties>
</file>