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uba\gruppen\V1.6\Int\Berichterstattung\Vorjahresschätzung\2025\Unterlagen für den Expertenrat\"/>
    </mc:Choice>
  </mc:AlternateContent>
  <xr:revisionPtr revIDLastSave="0" documentId="13_ncr:1_{DA51F73D-A20D-44D2-B132-0D00A06CD794}" xr6:coauthVersionLast="47" xr6:coauthVersionMax="47" xr10:uidLastSave="{00000000-0000-0000-0000-000000000000}"/>
  <bookViews>
    <workbookView xWindow="28680" yWindow="-120" windowWidth="29040" windowHeight="17640" tabRatio="869" activeTab="10" xr2:uid="{00000000-000D-0000-FFFF-FFFF00000000}"/>
  </bookViews>
  <sheets>
    <sheet name="THG-Trends" sheetId="10" r:id="rId1"/>
    <sheet name="THG-Anteile" sheetId="9" r:id="rId2"/>
    <sheet name="THG kurz" sheetId="41" r:id="rId3"/>
    <sheet name="THG" sheetId="8" r:id="rId4"/>
    <sheet name="CO2" sheetId="3" r:id="rId5"/>
    <sheet name="CH4" sheetId="6" r:id="rId6"/>
    <sheet name="N2O" sheetId="7" r:id="rId7"/>
    <sheet name="F-Gase" sheetId="45" r:id="rId8"/>
    <sheet name="Daten Sektorgrafik" sheetId="12" state="hidden" r:id="rId9"/>
    <sheet name="Sektorgrafik UBA_CI" sheetId="13" r:id="rId10"/>
    <sheet name="Daten Zielpfadgrafik" sheetId="14" r:id="rId11"/>
    <sheet name="Grafik Zielpfad Sektoren" sheetId="47" r:id="rId12"/>
    <sheet name="Grafik Zielpfadänderung JEGM" sheetId="46" r:id="rId13"/>
    <sheet name="Daten Sektor Energiew." sheetId="21" state="hidden" r:id="rId14"/>
    <sheet name="Grafik Sektor Energiew." sheetId="22" r:id="rId15"/>
    <sheet name="Daten Sektor Industrie" sheetId="23" state="hidden" r:id="rId16"/>
    <sheet name="Grafik Sektor Industrie" sheetId="24" r:id="rId17"/>
    <sheet name="Daten Sektor Gebäude" sheetId="25" state="hidden" r:id="rId18"/>
    <sheet name="Grafik Sektor Gebäude" sheetId="26" r:id="rId19"/>
    <sheet name="Daten Sektor Verkehr" sheetId="27" state="hidden" r:id="rId20"/>
    <sheet name="Grafik Sektor Verkehr" sheetId="28" r:id="rId21"/>
    <sheet name="Daten Sektor Landwirtschaft" sheetId="31" state="hidden" r:id="rId22"/>
    <sheet name="Grafik Sektor Landwirtschaft" sheetId="32" r:id="rId23"/>
    <sheet name="Daten Sektor Abfallwirtschaft" sheetId="33" state="hidden" r:id="rId24"/>
    <sheet name="Grafik Sektor Abfallwirtschaft" sheetId="34" r:id="rId25"/>
    <sheet name="Unsicherheiten" sheetId="44" r:id="rId26"/>
  </sheets>
  <definedNames>
    <definedName name="_xlnm.Print_Area" localSheetId="5">'CH4'!$A$1:$AL$54</definedName>
    <definedName name="_xlnm.Print_Area" localSheetId="4">'CO2'!$A$1:$AL$54</definedName>
    <definedName name="_xlnm.Print_Area" localSheetId="7">'F-Gase'!$A$1:$AL$54</definedName>
    <definedName name="_xlnm.Print_Area" localSheetId="6">N2O!$A$1:$AL$54</definedName>
    <definedName name="_xlnm.Print_Area" localSheetId="3">THG!$A$1:$AL$54</definedName>
    <definedName name="_xlnm.Print_Area" localSheetId="2">'THG kurz'!$A$1:$AP$18</definedName>
    <definedName name="_xlnm.Print_Area" localSheetId="1">'THG-Anteile'!$A$1:$AF$46</definedName>
    <definedName name="_xlnm.Print_Area" localSheetId="0">'THG-Trends'!$A$1:$AF$54</definedName>
    <definedName name="_xlnm.Print_Area" localSheetId="25">Unsicherheiten!$A$1:$N$16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5" i="14" l="1"/>
  <c r="AI9" i="45"/>
  <c r="AJ9" i="45"/>
  <c r="AK9" i="45"/>
  <c r="AL9" i="45"/>
  <c r="AI21" i="45"/>
  <c r="AJ21" i="45"/>
  <c r="AK21" i="45"/>
  <c r="AL21" i="45"/>
  <c r="AI26" i="45"/>
  <c r="AJ26" i="45"/>
  <c r="AK26" i="45"/>
  <c r="AL26" i="45"/>
  <c r="AI32" i="45"/>
  <c r="AJ32" i="45"/>
  <c r="AK32" i="45"/>
  <c r="AL32" i="45"/>
  <c r="AI42" i="45"/>
  <c r="AJ42" i="45"/>
  <c r="AK42" i="45"/>
  <c r="AL42" i="45"/>
  <c r="AI48" i="45"/>
  <c r="AJ48" i="45"/>
  <c r="AK48" i="45"/>
  <c r="AL48" i="45"/>
  <c r="AQ259" i="14" l="1"/>
  <c r="AP259" i="14"/>
  <c r="AO259" i="14"/>
  <c r="AN259" i="14"/>
  <c r="AM259" i="14"/>
  <c r="AL259" i="14"/>
  <c r="AK259" i="14"/>
  <c r="AI259" i="14"/>
  <c r="AI247" i="14" s="1"/>
  <c r="AJ247" i="14" s="1"/>
  <c r="AR260" i="14"/>
  <c r="AQ260" i="14"/>
  <c r="AP260" i="14"/>
  <c r="AO260" i="14"/>
  <c r="AN260" i="14"/>
  <c r="AM260" i="14"/>
  <c r="AL260" i="14"/>
  <c r="AK260" i="14"/>
  <c r="AJ260" i="14"/>
  <c r="AI260" i="14"/>
  <c r="AH260" i="14"/>
  <c r="AI35" i="14"/>
  <c r="AI239" i="14" s="1"/>
  <c r="AJ35" i="14"/>
  <c r="AR35" i="14"/>
  <c r="AN35" i="14"/>
  <c r="AN119" i="14" s="1"/>
  <c r="AO35" i="14"/>
  <c r="AO95" i="14" s="1"/>
  <c r="AP35" i="14"/>
  <c r="AP71" i="14" s="1"/>
  <c r="AR71" i="14" s="1"/>
  <c r="AQ35" i="14"/>
  <c r="AI22" i="14"/>
  <c r="AH22" i="14"/>
  <c r="AI241" i="14"/>
  <c r="AJ239" i="14" l="1"/>
  <c r="AJ227" i="14" s="1"/>
  <c r="AM239" i="14"/>
  <c r="AM227" i="14" s="1"/>
  <c r="AR239" i="14"/>
  <c r="AR227" i="14" s="1"/>
  <c r="AQ239" i="14"/>
  <c r="AQ227" i="14" s="1"/>
  <c r="AP239" i="14"/>
  <c r="AP227" i="14" s="1"/>
  <c r="AO239" i="14"/>
  <c r="AO227" i="14" s="1"/>
  <c r="AN239" i="14"/>
  <c r="AN227" i="14" s="1"/>
  <c r="AL239" i="14"/>
  <c r="AL227" i="14" s="1"/>
  <c r="AK239" i="14"/>
  <c r="AK227" i="14" s="1"/>
  <c r="AO247" i="14"/>
  <c r="AO235" i="14" s="1"/>
  <c r="AN247" i="14"/>
  <c r="AN235" i="14" s="1"/>
  <c r="AR247" i="14"/>
  <c r="AR235" i="14" s="1"/>
  <c r="AM247" i="14"/>
  <c r="AM235" i="14" s="1"/>
  <c r="AL247" i="14"/>
  <c r="AL235" i="14" s="1"/>
  <c r="AK247" i="14"/>
  <c r="AK235" i="14" s="1"/>
  <c r="AJ235" i="14"/>
  <c r="AJ223" i="14" s="1"/>
  <c r="AQ247" i="14"/>
  <c r="AQ235" i="14" s="1"/>
  <c r="AP247" i="14"/>
  <c r="AP235" i="14" s="1"/>
  <c r="AP95" i="14"/>
  <c r="AR95" i="14"/>
  <c r="AQ71" i="14"/>
  <c r="AO119" i="14"/>
  <c r="AR119" i="14"/>
  <c r="AQ119" i="14"/>
  <c r="AP119" i="14"/>
  <c r="AQ95" i="14"/>
  <c r="AH23" i="14"/>
  <c r="AI23" i="14"/>
  <c r="AH24" i="14"/>
  <c r="AI24" i="14"/>
  <c r="AH25" i="14"/>
  <c r="AI25" i="14"/>
  <c r="AH26" i="14"/>
  <c r="AI26" i="14"/>
  <c r="AH27" i="14"/>
  <c r="AI27" i="14"/>
  <c r="AH28" i="14"/>
  <c r="AI28" i="14"/>
  <c r="AI245" i="14"/>
  <c r="AQ245" i="14" s="1"/>
  <c r="AI244" i="14"/>
  <c r="AO244" i="14" s="1"/>
  <c r="AI243" i="14"/>
  <c r="AI242" i="14"/>
  <c r="AK242" i="14" s="1"/>
  <c r="AP241" i="14"/>
  <c r="AQ240" i="14"/>
  <c r="AP240" i="14"/>
  <c r="AO240" i="14"/>
  <c r="AN240" i="14"/>
  <c r="AM240" i="14"/>
  <c r="AL240" i="14"/>
  <c r="AK240" i="14"/>
  <c r="AI240" i="14"/>
  <c r="AQ180" i="14"/>
  <c r="AQ156" i="14" s="1"/>
  <c r="AQ132" i="14" s="1"/>
  <c r="AQ108" i="14" s="1"/>
  <c r="AQ84" i="14" s="1"/>
  <c r="AQ60" i="14" s="1"/>
  <c r="AP180" i="14"/>
  <c r="AP156" i="14" s="1"/>
  <c r="AP132" i="14" s="1"/>
  <c r="AP108" i="14" s="1"/>
  <c r="AP84" i="14" s="1"/>
  <c r="AO180" i="14"/>
  <c r="AO156" i="14" s="1"/>
  <c r="AO132" i="14" s="1"/>
  <c r="AO108" i="14" s="1"/>
  <c r="AN180" i="14"/>
  <c r="AN156" i="14" s="1"/>
  <c r="AN132" i="14" s="1"/>
  <c r="AM180" i="14"/>
  <c r="AM156" i="14" s="1"/>
  <c r="AL180" i="14"/>
  <c r="AR41" i="14"/>
  <c r="AQ41" i="14"/>
  <c r="AQ53" i="14" s="1"/>
  <c r="AR53" i="14" s="1"/>
  <c r="AP41" i="14"/>
  <c r="AP77" i="14" s="1"/>
  <c r="AO41" i="14"/>
  <c r="AO101" i="14" s="1"/>
  <c r="AN41" i="14"/>
  <c r="AN125" i="14" s="1"/>
  <c r="AR40" i="14"/>
  <c r="AQ40" i="14"/>
  <c r="AP40" i="14"/>
  <c r="AO40" i="14"/>
  <c r="AN40" i="14"/>
  <c r="AR39" i="14"/>
  <c r="AQ39" i="14"/>
  <c r="AQ51" i="14" s="1"/>
  <c r="AR51" i="14" s="1"/>
  <c r="AP39" i="14"/>
  <c r="AP75" i="14" s="1"/>
  <c r="AO39" i="14"/>
  <c r="AO99" i="14" s="1"/>
  <c r="AQ99" i="14" s="1"/>
  <c r="AN39" i="14"/>
  <c r="AN123" i="14" s="1"/>
  <c r="AP123" i="14" s="1"/>
  <c r="AR38" i="14"/>
  <c r="AQ38" i="14"/>
  <c r="AQ50" i="14" s="1"/>
  <c r="AR50" i="14" s="1"/>
  <c r="AP38" i="14"/>
  <c r="AP74" i="14" s="1"/>
  <c r="AQ74" i="14" s="1"/>
  <c r="AO38" i="14"/>
  <c r="AO98" i="14" s="1"/>
  <c r="AP98" i="14" s="1"/>
  <c r="AN38" i="14"/>
  <c r="AN122" i="14" s="1"/>
  <c r="AR37" i="14"/>
  <c r="AQ37" i="14"/>
  <c r="AP37" i="14"/>
  <c r="AP73" i="14" s="1"/>
  <c r="AO37" i="14"/>
  <c r="AO97" i="14" s="1"/>
  <c r="AN37" i="14"/>
  <c r="AN121" i="14" s="1"/>
  <c r="AR36" i="14"/>
  <c r="AQ36" i="14"/>
  <c r="AQ55" i="14" s="1"/>
  <c r="AR55" i="14" s="1"/>
  <c r="AP36" i="14"/>
  <c r="AP79" i="14" s="1"/>
  <c r="AQ79" i="14" s="1"/>
  <c r="AO36" i="14"/>
  <c r="AO103" i="14" s="1"/>
  <c r="AP103" i="14" s="1"/>
  <c r="AN36" i="14"/>
  <c r="AN127" i="14" s="1"/>
  <c r="AR127" i="14" s="1"/>
  <c r="AR33" i="14"/>
  <c r="AQ33" i="14"/>
  <c r="AP33" i="14"/>
  <c r="AO33" i="14"/>
  <c r="AN33" i="14"/>
  <c r="AM33" i="14"/>
  <c r="AL33" i="14"/>
  <c r="AK33" i="14"/>
  <c r="AJ33" i="14"/>
  <c r="AI33" i="14"/>
  <c r="AJ215" i="14" l="1"/>
  <c r="AP215" i="14" s="1"/>
  <c r="AP203" i="14" s="1"/>
  <c r="AJ22" i="14"/>
  <c r="AQ127" i="14"/>
  <c r="AQ103" i="14"/>
  <c r="AP127" i="14"/>
  <c r="AO127" i="14"/>
  <c r="AR223" i="14"/>
  <c r="AR211" i="14" s="1"/>
  <c r="AM223" i="14"/>
  <c r="AM211" i="14" s="1"/>
  <c r="AN223" i="14"/>
  <c r="AN211" i="14" s="1"/>
  <c r="AO223" i="14"/>
  <c r="AO211" i="14" s="1"/>
  <c r="AP223" i="14"/>
  <c r="AP211" i="14" s="1"/>
  <c r="AQ223" i="14"/>
  <c r="AQ211" i="14" s="1"/>
  <c r="AK223" i="14"/>
  <c r="AK211" i="14" s="1"/>
  <c r="AL223" i="14"/>
  <c r="AL211" i="14" s="1"/>
  <c r="AR79" i="14"/>
  <c r="AH30" i="14"/>
  <c r="AR103" i="14"/>
  <c r="AQ49" i="14"/>
  <c r="AR49" i="14" s="1"/>
  <c r="AQ47" i="14"/>
  <c r="AR47" i="14" s="1"/>
  <c r="AQ122" i="14"/>
  <c r="AO122" i="14"/>
  <c r="AR74" i="14"/>
  <c r="AQ48" i="14"/>
  <c r="AR48" i="14" s="1"/>
  <c r="AN120" i="14"/>
  <c r="AO96" i="14"/>
  <c r="AP72" i="14"/>
  <c r="AR73" i="14"/>
  <c r="AQ73" i="14"/>
  <c r="AK241" i="14"/>
  <c r="AL241" i="14"/>
  <c r="AM241" i="14"/>
  <c r="AK245" i="14"/>
  <c r="AK244" i="14"/>
  <c r="AO241" i="14"/>
  <c r="AM245" i="14"/>
  <c r="AL244" i="14"/>
  <c r="AM244" i="14"/>
  <c r="AQ241" i="14"/>
  <c r="AN245" i="14"/>
  <c r="AJ241" i="14"/>
  <c r="AR241" i="14"/>
  <c r="AO245" i="14"/>
  <c r="AP245" i="14"/>
  <c r="AP244" i="14"/>
  <c r="AR245" i="14"/>
  <c r="AR125" i="14"/>
  <c r="AQ125" i="14"/>
  <c r="AO125" i="14"/>
  <c r="AP125" i="14"/>
  <c r="AR101" i="14"/>
  <c r="AP101" i="14"/>
  <c r="AR75" i="14"/>
  <c r="AQ75" i="14"/>
  <c r="AR122" i="14"/>
  <c r="AP122" i="14"/>
  <c r="AR77" i="14"/>
  <c r="AQ77" i="14"/>
  <c r="AQ98" i="14"/>
  <c r="AM243" i="14"/>
  <c r="AL243" i="14"/>
  <c r="AJ243" i="14"/>
  <c r="AR243" i="14"/>
  <c r="AQ243" i="14"/>
  <c r="AP243" i="14"/>
  <c r="AO243" i="14"/>
  <c r="AN243" i="14"/>
  <c r="AK243" i="14"/>
  <c r="AR121" i="14"/>
  <c r="AQ121" i="14"/>
  <c r="AP121" i="14"/>
  <c r="AO121" i="14"/>
  <c r="AR98" i="14"/>
  <c r="AR97" i="14"/>
  <c r="AQ97" i="14"/>
  <c r="AP97" i="14"/>
  <c r="AQ101" i="14"/>
  <c r="AR99" i="14"/>
  <c r="AL242" i="14"/>
  <c r="AR123" i="14"/>
  <c r="AM242" i="14"/>
  <c r="AQ244" i="14"/>
  <c r="AQ123" i="14"/>
  <c r="AN242" i="14"/>
  <c r="AR244" i="14"/>
  <c r="AO242" i="14"/>
  <c r="AN241" i="14"/>
  <c r="AP242" i="14"/>
  <c r="AJ245" i="14"/>
  <c r="AQ242" i="14"/>
  <c r="AR242" i="14"/>
  <c r="AJ244" i="14"/>
  <c r="AL245" i="14"/>
  <c r="AP99" i="14"/>
  <c r="AO123" i="14"/>
  <c r="AJ242" i="14"/>
  <c r="AN244" i="14"/>
  <c r="AM215" i="14" l="1"/>
  <c r="AM203" i="14" s="1"/>
  <c r="AR215" i="14"/>
  <c r="AR203" i="14" s="1"/>
  <c r="AK215" i="14"/>
  <c r="AK203" i="14" s="1"/>
  <c r="AN215" i="14"/>
  <c r="AN203" i="14" s="1"/>
  <c r="AO215" i="14"/>
  <c r="AO203" i="14" s="1"/>
  <c r="AL215" i="14"/>
  <c r="AL203" i="14" s="1"/>
  <c r="AQ215" i="14"/>
  <c r="AQ203" i="14" s="1"/>
  <c r="AR228" i="14"/>
  <c r="AJ228" i="14"/>
  <c r="AQ228" i="14"/>
  <c r="AQ204" i="14" s="1"/>
  <c r="AP228" i="14"/>
  <c r="AP204" i="14" s="1"/>
  <c r="AO228" i="14"/>
  <c r="AO204" i="14" s="1"/>
  <c r="AN228" i="14"/>
  <c r="AN204" i="14" s="1"/>
  <c r="AM228" i="14"/>
  <c r="AM204" i="14" s="1"/>
  <c r="AL228" i="14"/>
  <c r="AL204" i="14" s="1"/>
  <c r="AK228" i="14"/>
  <c r="AK204" i="14" s="1"/>
  <c r="AK23" i="14" s="1"/>
  <c r="AK22" i="14" l="1"/>
  <c r="AK191" i="14"/>
  <c r="AJ23" i="14"/>
  <c r="AJ216" i="14"/>
  <c r="AR216" i="14" s="1"/>
  <c r="AR23" i="14" s="1"/>
  <c r="AH48" i="45"/>
  <c r="AG48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C4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L9" i="45"/>
  <c r="K9" i="45"/>
  <c r="J9" i="45"/>
  <c r="I9" i="45"/>
  <c r="H9" i="45"/>
  <c r="G9" i="45"/>
  <c r="F9" i="45"/>
  <c r="E9" i="45"/>
  <c r="D9" i="45"/>
  <c r="C9" i="45"/>
  <c r="AR204" i="14" l="1"/>
  <c r="AI17" i="33" l="1"/>
  <c r="AH17" i="33"/>
  <c r="C17" i="33"/>
  <c r="AI21" i="31"/>
  <c r="AH21" i="31"/>
  <c r="C21" i="31"/>
  <c r="AI17" i="27"/>
  <c r="AH17" i="27"/>
  <c r="C17" i="27"/>
  <c r="AI17" i="25"/>
  <c r="AH17" i="25"/>
  <c r="C17" i="25"/>
  <c r="AI19" i="23"/>
  <c r="AH19" i="23"/>
  <c r="C19" i="23"/>
  <c r="C17" i="21"/>
  <c r="AQ17" i="21"/>
  <c r="AP17" i="21"/>
  <c r="AO17" i="21"/>
  <c r="AN17" i="21"/>
  <c r="AM17" i="21"/>
  <c r="AL17" i="21"/>
  <c r="AK17" i="21"/>
  <c r="AJ17" i="21"/>
  <c r="AI17" i="21"/>
  <c r="AH17" i="21"/>
  <c r="AL38" i="8" l="1"/>
  <c r="AM16" i="31" s="1"/>
  <c r="AJ38" i="8"/>
  <c r="AK16" i="31" s="1"/>
  <c r="AJ31" i="41"/>
  <c r="AL37" i="41"/>
  <c r="AL16" i="25" s="1"/>
  <c r="AJ39" i="8"/>
  <c r="AK17" i="31" s="1"/>
  <c r="AJ37" i="41"/>
  <c r="AL43" i="8"/>
  <c r="AM11" i="33" s="1"/>
  <c r="AK37" i="8"/>
  <c r="AL15" i="31" s="1"/>
  <c r="AL36" i="8"/>
  <c r="AM14" i="31" s="1"/>
  <c r="AK38" i="8"/>
  <c r="AL16" i="31" s="1"/>
  <c r="AJ37" i="8"/>
  <c r="AK15" i="31" s="1"/>
  <c r="AK37" i="41"/>
  <c r="AK16" i="25" s="1"/>
  <c r="AL24" i="41"/>
  <c r="AL16" i="21" s="1"/>
  <c r="AL37" i="8"/>
  <c r="AM15" i="31" s="1"/>
  <c r="AK36" i="8"/>
  <c r="AL14" i="31" s="1"/>
  <c r="AK34" i="8"/>
  <c r="AL12" i="31" s="1"/>
  <c r="AL39" i="8"/>
  <c r="AM17" i="31" s="1"/>
  <c r="AJ24" i="41"/>
  <c r="AK43" i="8"/>
  <c r="AL11" i="33" s="1"/>
  <c r="AK39" i="8"/>
  <c r="AL17" i="31" s="1"/>
  <c r="AJ34" i="8"/>
  <c r="AK12" i="31" s="1"/>
  <c r="AL31" i="41"/>
  <c r="AL18" i="23" s="1"/>
  <c r="AJ43" i="8"/>
  <c r="AK11" i="33" s="1"/>
  <c r="AJ36" i="8"/>
  <c r="AK14" i="31" s="1"/>
  <c r="AK31" i="41"/>
  <c r="AK18" i="23" s="1"/>
  <c r="AL34" i="8"/>
  <c r="AM12" i="31" s="1"/>
  <c r="AK24" i="41"/>
  <c r="AK16" i="21" s="1"/>
  <c r="AL45" i="8"/>
  <c r="AM13" i="33" s="1"/>
  <c r="AL26" i="3" l="1"/>
  <c r="AK49" i="8"/>
  <c r="AL46" i="8"/>
  <c r="AM14" i="33" s="1"/>
  <c r="AJ9" i="6"/>
  <c r="AJ48" i="3"/>
  <c r="AJ16" i="8"/>
  <c r="AK13" i="23" s="1"/>
  <c r="AK30" i="8"/>
  <c r="AL14" i="27" s="1"/>
  <c r="AI21" i="3"/>
  <c r="AK45" i="8"/>
  <c r="AL13" i="33" s="1"/>
  <c r="AJ51" i="8"/>
  <c r="AJ30" i="8"/>
  <c r="AK14" i="27" s="1"/>
  <c r="AL10" i="8"/>
  <c r="AM12" i="21" s="1"/>
  <c r="AL26" i="6"/>
  <c r="AJ44" i="8"/>
  <c r="AK12" i="33" s="1"/>
  <c r="AL22" i="8"/>
  <c r="AM12" i="25" s="1"/>
  <c r="AL40" i="8"/>
  <c r="AM18" i="31" s="1"/>
  <c r="AL30" i="8"/>
  <c r="AM14" i="27" s="1"/>
  <c r="AL50" i="8"/>
  <c r="AI9" i="7"/>
  <c r="AJ32" i="7"/>
  <c r="AJ11" i="8"/>
  <c r="AK13" i="21" s="1"/>
  <c r="AL42" i="6"/>
  <c r="AJ14" i="6"/>
  <c r="AL15" i="8"/>
  <c r="AM12" i="23" s="1"/>
  <c r="AJ54" i="8"/>
  <c r="AL42" i="7"/>
  <c r="AJ15" i="8"/>
  <c r="AK12" i="23" s="1"/>
  <c r="AK44" i="8"/>
  <c r="AL12" i="33" s="1"/>
  <c r="AL27" i="8"/>
  <c r="AM11" i="27" s="1"/>
  <c r="AJ42" i="7"/>
  <c r="AJ45" i="8"/>
  <c r="AK13" i="33" s="1"/>
  <c r="AK33" i="8"/>
  <c r="AL11" i="31" s="1"/>
  <c r="AL42" i="3"/>
  <c r="AJ12" i="8"/>
  <c r="AK14" i="21" s="1"/>
  <c r="AJ48" i="6"/>
  <c r="AK21" i="6"/>
  <c r="AI26" i="3"/>
  <c r="AL54" i="8"/>
  <c r="AL26" i="7"/>
  <c r="AK42" i="6"/>
  <c r="AK15" i="8"/>
  <c r="AL12" i="23" s="1"/>
  <c r="AJ21" i="3"/>
  <c r="AI21" i="7"/>
  <c r="AL11" i="8"/>
  <c r="AM13" i="21" s="1"/>
  <c r="AI42" i="6"/>
  <c r="AL35" i="8"/>
  <c r="AM13" i="31" s="1"/>
  <c r="AK17" i="8"/>
  <c r="AL14" i="23" s="1"/>
  <c r="AK26" i="6"/>
  <c r="AI9" i="3"/>
  <c r="AI48" i="6"/>
  <c r="AL44" i="8"/>
  <c r="AK51" i="8"/>
  <c r="AJ46" i="8"/>
  <c r="AK14" i="33" s="1"/>
  <c r="AK46" i="8"/>
  <c r="AL14" i="33" s="1"/>
  <c r="AI48" i="3"/>
  <c r="AK12" i="8"/>
  <c r="AL14" i="21" s="1"/>
  <c r="AJ52" i="8"/>
  <c r="AJ23" i="8"/>
  <c r="AK13" i="25" s="1"/>
  <c r="AK32" i="6"/>
  <c r="AL29" i="8"/>
  <c r="AM13" i="27" s="1"/>
  <c r="AJ35" i="8"/>
  <c r="AK13" i="31" s="1"/>
  <c r="AL48" i="6"/>
  <c r="AJ27" i="8"/>
  <c r="AK11" i="27" s="1"/>
  <c r="AJ18" i="8"/>
  <c r="AK15" i="23" s="1"/>
  <c r="AJ26" i="6"/>
  <c r="AI21" i="6"/>
  <c r="AK24" i="8"/>
  <c r="AL14" i="25" s="1"/>
  <c r="AK54" i="8"/>
  <c r="AJ9" i="3"/>
  <c r="AJ26" i="3"/>
  <c r="AI32" i="6"/>
  <c r="AJ17" i="8"/>
  <c r="AK14" i="23" s="1"/>
  <c r="AK9" i="3"/>
  <c r="AL53" i="8"/>
  <c r="AL52" i="8"/>
  <c r="AK48" i="6"/>
  <c r="AK22" i="8"/>
  <c r="AL14" i="6"/>
  <c r="AK50" i="8"/>
  <c r="AK21" i="7"/>
  <c r="AL9" i="3"/>
  <c r="AK53" i="8"/>
  <c r="AJ40" i="8"/>
  <c r="AK18" i="31" s="1"/>
  <c r="AI32" i="7"/>
  <c r="AL21" i="6"/>
  <c r="AI32" i="3"/>
  <c r="AK48" i="7"/>
  <c r="AJ33" i="8"/>
  <c r="AK11" i="31" s="1"/>
  <c r="AK16" i="8"/>
  <c r="AL13" i="23" s="1"/>
  <c r="AL32" i="6"/>
  <c r="AK32" i="7"/>
  <c r="AK29" i="8"/>
  <c r="AL13" i="27" s="1"/>
  <c r="AJ32" i="3"/>
  <c r="AL21" i="7"/>
  <c r="AL48" i="3"/>
  <c r="AL12" i="8"/>
  <c r="AM14" i="21" s="1"/>
  <c r="AK42" i="3"/>
  <c r="AJ26" i="7"/>
  <c r="AJ50" i="8"/>
  <c r="AJ24" i="8"/>
  <c r="AK14" i="25" s="1"/>
  <c r="AK42" i="7"/>
  <c r="AK21" i="3"/>
  <c r="AJ9" i="7"/>
  <c r="AJ10" i="8"/>
  <c r="AK12" i="21" s="1"/>
  <c r="AK18" i="8"/>
  <c r="AL15" i="23" s="1"/>
  <c r="AL16" i="8"/>
  <c r="AM13" i="23" s="1"/>
  <c r="AJ48" i="7"/>
  <c r="AL23" i="8"/>
  <c r="AM13" i="25" s="1"/>
  <c r="AL9" i="6"/>
  <c r="AK9" i="6"/>
  <c r="AK26" i="7"/>
  <c r="AL48" i="7"/>
  <c r="AJ21" i="6"/>
  <c r="AJ14" i="45"/>
  <c r="AJ6" i="45" s="1"/>
  <c r="AL14" i="7"/>
  <c r="AK14" i="45"/>
  <c r="AL14" i="45"/>
  <c r="AI14" i="7"/>
  <c r="AI14" i="45"/>
  <c r="AK23" i="8"/>
  <c r="AL13" i="25" s="1"/>
  <c r="AJ22" i="8"/>
  <c r="AK12" i="25" s="1"/>
  <c r="AJ53" i="8"/>
  <c r="AL14" i="3"/>
  <c r="AI42" i="3"/>
  <c r="AK40" i="8"/>
  <c r="AL18" i="31" s="1"/>
  <c r="AI9" i="6"/>
  <c r="AK11" i="8"/>
  <c r="AL13" i="21" s="1"/>
  <c r="AL9" i="7"/>
  <c r="AI26" i="7"/>
  <c r="AJ29" i="8"/>
  <c r="AK13" i="27" s="1"/>
  <c r="AI14" i="6"/>
  <c r="AI48" i="7"/>
  <c r="AI14" i="3"/>
  <c r="AL28" i="8"/>
  <c r="AM12" i="27" s="1"/>
  <c r="AK32" i="3"/>
  <c r="AK35" i="8"/>
  <c r="AL13" i="31" s="1"/>
  <c r="AK52" i="8"/>
  <c r="AK14" i="6"/>
  <c r="AK26" i="3"/>
  <c r="AL21" i="3"/>
  <c r="AJ32" i="6"/>
  <c r="AK10" i="8"/>
  <c r="AL49" i="8"/>
  <c r="AJ28" i="8"/>
  <c r="AK12" i="27" s="1"/>
  <c r="AJ42" i="3"/>
  <c r="AK48" i="3"/>
  <c r="AK14" i="3"/>
  <c r="AJ14" i="3"/>
  <c r="AL18" i="8"/>
  <c r="AM15" i="23" s="1"/>
  <c r="AJ49" i="8"/>
  <c r="AL51" i="8"/>
  <c r="AL33" i="8"/>
  <c r="AM11" i="31" s="1"/>
  <c r="AL32" i="3"/>
  <c r="AL24" i="8"/>
  <c r="AM14" i="25" s="1"/>
  <c r="AJ42" i="6"/>
  <c r="AJ21" i="7"/>
  <c r="AL32" i="7"/>
  <c r="AK28" i="8"/>
  <c r="AL12" i="27" s="1"/>
  <c r="AK9" i="7"/>
  <c r="AI26" i="6"/>
  <c r="AK27" i="8"/>
  <c r="AL11" i="27" s="1"/>
  <c r="AI42" i="7"/>
  <c r="AL17" i="8"/>
  <c r="AM14" i="23" s="1"/>
  <c r="B15" i="33"/>
  <c r="B14" i="33"/>
  <c r="B13" i="33"/>
  <c r="B12" i="33"/>
  <c r="B11" i="33"/>
  <c r="C3" i="33"/>
  <c r="B19" i="31"/>
  <c r="B11" i="31"/>
  <c r="B18" i="31"/>
  <c r="B17" i="31"/>
  <c r="B16" i="31"/>
  <c r="B15" i="31"/>
  <c r="B14" i="31"/>
  <c r="B13" i="31"/>
  <c r="B12" i="31"/>
  <c r="C3" i="31"/>
  <c r="AL42" i="8" l="1"/>
  <c r="AM15" i="33" s="1"/>
  <c r="AM12" i="33"/>
  <c r="AJ7" i="6"/>
  <c r="AK21" i="8"/>
  <c r="AL36" i="41" s="1"/>
  <c r="AL41" i="41" s="1"/>
  <c r="AK32" i="8"/>
  <c r="AL17" i="41" s="1"/>
  <c r="AJ9" i="8"/>
  <c r="AK12" i="14" s="1"/>
  <c r="AL12" i="25"/>
  <c r="AL32" i="8"/>
  <c r="AM19" i="31" s="1"/>
  <c r="AJ21" i="8"/>
  <c r="AK15" i="41" s="1"/>
  <c r="AL9" i="8"/>
  <c r="AJ26" i="8"/>
  <c r="AK15" i="27" s="1"/>
  <c r="AK42" i="8"/>
  <c r="AL15" i="12" s="1"/>
  <c r="AJ42" i="8"/>
  <c r="AK17" i="14" s="1"/>
  <c r="AL21" i="8"/>
  <c r="AJ7" i="45"/>
  <c r="AK48" i="8"/>
  <c r="AL26" i="8"/>
  <c r="AM15" i="27" s="1"/>
  <c r="AJ32" i="8"/>
  <c r="AK14" i="12" s="1"/>
  <c r="AJ48" i="8"/>
  <c r="AK19" i="8"/>
  <c r="AK14" i="8" s="1"/>
  <c r="AJ6" i="6"/>
  <c r="AK8" i="41" s="1"/>
  <c r="AK26" i="8"/>
  <c r="AL16" i="41" s="1"/>
  <c r="AJ6" i="3"/>
  <c r="AK7" i="41" s="1"/>
  <c r="AJ7" i="3"/>
  <c r="AK14" i="7"/>
  <c r="AL48" i="8"/>
  <c r="AL19" i="8"/>
  <c r="AM16" i="23" s="1"/>
  <c r="AK9" i="8"/>
  <c r="AL12" i="21"/>
  <c r="AJ19" i="8"/>
  <c r="AJ14" i="7"/>
  <c r="AK10" i="41"/>
  <c r="B15" i="27"/>
  <c r="B14" i="27"/>
  <c r="B13" i="27"/>
  <c r="B12" i="27"/>
  <c r="B11" i="27"/>
  <c r="C3" i="27"/>
  <c r="B14" i="25"/>
  <c r="B13" i="25"/>
  <c r="B15" i="25"/>
  <c r="B12" i="25"/>
  <c r="C3" i="25"/>
  <c r="B16" i="23"/>
  <c r="B15" i="23"/>
  <c r="B14" i="23"/>
  <c r="B13" i="23"/>
  <c r="B12" i="23"/>
  <c r="C3" i="23"/>
  <c r="B13" i="21"/>
  <c r="B14" i="21"/>
  <c r="B12" i="21"/>
  <c r="C3" i="21"/>
  <c r="AM18" i="41" l="1"/>
  <c r="AM17" i="14"/>
  <c r="AM41" i="14" s="1"/>
  <c r="AM15" i="12"/>
  <c r="AL15" i="25"/>
  <c r="AK19" i="31"/>
  <c r="AM36" i="41"/>
  <c r="AM15" i="25"/>
  <c r="AL14" i="8"/>
  <c r="AM17" i="23" s="1"/>
  <c r="AL12" i="12"/>
  <c r="AM15" i="21"/>
  <c r="AK12" i="12"/>
  <c r="AK14" i="14"/>
  <c r="AK36" i="41"/>
  <c r="AK42" i="41" s="1"/>
  <c r="AK15" i="25"/>
  <c r="AM23" i="41"/>
  <c r="AM28" i="41" s="1"/>
  <c r="AK15" i="21"/>
  <c r="AK13" i="41"/>
  <c r="AK23" i="41"/>
  <c r="AK28" i="41" s="1"/>
  <c r="AK10" i="12"/>
  <c r="AL42" i="41"/>
  <c r="AL19" i="31"/>
  <c r="AL14" i="14"/>
  <c r="AL15" i="41"/>
  <c r="AM13" i="41"/>
  <c r="AL11" i="12"/>
  <c r="AL17" i="14"/>
  <c r="AL13" i="14"/>
  <c r="AK16" i="14"/>
  <c r="AK17" i="41"/>
  <c r="AM17" i="41"/>
  <c r="AM12" i="12"/>
  <c r="AM14" i="14"/>
  <c r="AM38" i="14" s="1"/>
  <c r="AL14" i="12"/>
  <c r="AM10" i="12"/>
  <c r="AM12" i="14"/>
  <c r="AK15" i="14"/>
  <c r="AL16" i="14"/>
  <c r="AM14" i="12"/>
  <c r="AM16" i="14"/>
  <c r="AM40" i="14" s="1"/>
  <c r="AM13" i="12"/>
  <c r="AM15" i="14"/>
  <c r="AM39" i="14" s="1"/>
  <c r="AK16" i="41"/>
  <c r="AK13" i="12"/>
  <c r="AL18" i="41"/>
  <c r="AL30" i="41"/>
  <c r="AL35" i="41" s="1"/>
  <c r="AK15" i="12"/>
  <c r="AL15" i="33"/>
  <c r="AL14" i="41"/>
  <c r="AK18" i="41"/>
  <c r="AL17" i="23"/>
  <c r="AL15" i="14"/>
  <c r="AK6" i="8"/>
  <c r="AK14" i="9" s="1"/>
  <c r="AK15" i="33"/>
  <c r="AM15" i="41"/>
  <c r="AM16" i="41"/>
  <c r="AL16" i="23"/>
  <c r="AL13" i="12"/>
  <c r="AL15" i="27"/>
  <c r="AL13" i="41"/>
  <c r="AL15" i="21"/>
  <c r="AL10" i="12"/>
  <c r="AL12" i="14"/>
  <c r="AL23" i="41"/>
  <c r="AJ6" i="7"/>
  <c r="AK9" i="41" s="1"/>
  <c r="AJ7" i="7"/>
  <c r="AK16" i="23"/>
  <c r="AJ14" i="8"/>
  <c r="AK7" i="8"/>
  <c r="AO16" i="12"/>
  <c r="AM30" i="41" l="1"/>
  <c r="AL7" i="8"/>
  <c r="AM14" i="41"/>
  <c r="AM13" i="14"/>
  <c r="AM37" i="14" s="1"/>
  <c r="AK29" i="41"/>
  <c r="AM11" i="12"/>
  <c r="AM16" i="12" s="1"/>
  <c r="AK41" i="41"/>
  <c r="AM41" i="41"/>
  <c r="AL6" i="8"/>
  <c r="AL11" i="9" s="1"/>
  <c r="AL6" i="41"/>
  <c r="AL34" i="41"/>
  <c r="AK26" i="9"/>
  <c r="AK46" i="9"/>
  <c r="AK29" i="9"/>
  <c r="AK24" i="9"/>
  <c r="AK6" i="9"/>
  <c r="AK39" i="9"/>
  <c r="AK11" i="9"/>
  <c r="AK28" i="9"/>
  <c r="AK21" i="9"/>
  <c r="AK19" i="9"/>
  <c r="AM36" i="14"/>
  <c r="AK27" i="9"/>
  <c r="AK44" i="9"/>
  <c r="AK43" i="9"/>
  <c r="AK9" i="9"/>
  <c r="AK40" i="9"/>
  <c r="AK34" i="9"/>
  <c r="AK22" i="9"/>
  <c r="AK32" i="9"/>
  <c r="AK17" i="9"/>
  <c r="AK23" i="9"/>
  <c r="AK35" i="9"/>
  <c r="AK30" i="9"/>
  <c r="AK18" i="9"/>
  <c r="AK45" i="9"/>
  <c r="AK42" i="9"/>
  <c r="AK37" i="9"/>
  <c r="AK38" i="9"/>
  <c r="AK12" i="9"/>
  <c r="AK33" i="9"/>
  <c r="AK15" i="9"/>
  <c r="AL11" i="14"/>
  <c r="AL35" i="14" s="1"/>
  <c r="AK36" i="9"/>
  <c r="AK16" i="9"/>
  <c r="AK10" i="9"/>
  <c r="AL16" i="12"/>
  <c r="AL28" i="41"/>
  <c r="AL29" i="41"/>
  <c r="AK13" i="14"/>
  <c r="AK11" i="14" s="1"/>
  <c r="AK11" i="12"/>
  <c r="AK16" i="12" s="1"/>
  <c r="AJ7" i="8"/>
  <c r="AK14" i="41"/>
  <c r="AK17" i="23"/>
  <c r="AK30" i="41"/>
  <c r="AJ6" i="8"/>
  <c r="C3" i="14"/>
  <c r="C3" i="12"/>
  <c r="AM34" i="41" l="1"/>
  <c r="AM11" i="14"/>
  <c r="AM35" i="14" s="1"/>
  <c r="AL28" i="9"/>
  <c r="AL39" i="9"/>
  <c r="AL42" i="9"/>
  <c r="AL18" i="9"/>
  <c r="AL36" i="9"/>
  <c r="AL12" i="9"/>
  <c r="AL35" i="9"/>
  <c r="AL43" i="9"/>
  <c r="AL38" i="9"/>
  <c r="AL17" i="9"/>
  <c r="AL22" i="9"/>
  <c r="AL26" i="9"/>
  <c r="AL6" i="9"/>
  <c r="AL21" i="9"/>
  <c r="AL45" i="9"/>
  <c r="AL27" i="9"/>
  <c r="AL44" i="9"/>
  <c r="AL23" i="9"/>
  <c r="AL15" i="9"/>
  <c r="AL24" i="9"/>
  <c r="AL30" i="9"/>
  <c r="AL14" i="9"/>
  <c r="AM6" i="41"/>
  <c r="AL19" i="9"/>
  <c r="AL34" i="9"/>
  <c r="AL10" i="9"/>
  <c r="AL9" i="9"/>
  <c r="AL33" i="9"/>
  <c r="AL46" i="9"/>
  <c r="AL32" i="9"/>
  <c r="AL29" i="9"/>
  <c r="AL37" i="9"/>
  <c r="AL40" i="9"/>
  <c r="AL16" i="9"/>
  <c r="AM144" i="14"/>
  <c r="AR144" i="14" s="1"/>
  <c r="AK34" i="41"/>
  <c r="AK35" i="41"/>
  <c r="AJ21" i="9"/>
  <c r="AJ46" i="9"/>
  <c r="AJ17" i="9"/>
  <c r="AJ33" i="9"/>
  <c r="AJ43" i="9"/>
  <c r="AJ6" i="9"/>
  <c r="AJ30" i="9"/>
  <c r="AJ36" i="9"/>
  <c r="AJ16" i="9"/>
  <c r="AJ14" i="9"/>
  <c r="AJ39" i="9"/>
  <c r="AJ40" i="9"/>
  <c r="AJ18" i="9"/>
  <c r="AJ23" i="9"/>
  <c r="AJ11" i="9"/>
  <c r="AJ12" i="9"/>
  <c r="AJ44" i="9"/>
  <c r="AJ19" i="9"/>
  <c r="AJ32" i="9"/>
  <c r="AJ34" i="9"/>
  <c r="AJ28" i="9"/>
  <c r="AJ15" i="9"/>
  <c r="AJ27" i="9"/>
  <c r="AJ22" i="9"/>
  <c r="AJ10" i="9"/>
  <c r="AJ29" i="9"/>
  <c r="AJ26" i="9"/>
  <c r="AK6" i="41"/>
  <c r="AJ37" i="9"/>
  <c r="AJ38" i="9"/>
  <c r="AJ45" i="9"/>
  <c r="AJ9" i="9"/>
  <c r="AJ35" i="9"/>
  <c r="AJ24" i="9"/>
  <c r="AJ42" i="9"/>
  <c r="N11" i="44" l="1"/>
  <c r="N13" i="44"/>
  <c r="N9" i="44"/>
  <c r="N12" i="44"/>
  <c r="N14" i="44"/>
  <c r="N15" i="44"/>
  <c r="N10" i="44"/>
  <c r="AJ233" i="14" l="1"/>
  <c r="AJ28" i="14" s="1"/>
  <c r="AL233" i="14"/>
  <c r="AO233" i="14"/>
  <c r="AR233" i="14"/>
  <c r="AP233" i="14"/>
  <c r="AQ233" i="14"/>
  <c r="AK233" i="14"/>
  <c r="AN233" i="14"/>
  <c r="AQ230" i="14"/>
  <c r="AM230" i="14"/>
  <c r="AO230" i="14"/>
  <c r="AN230" i="14"/>
  <c r="AP230" i="14"/>
  <c r="AL230" i="14"/>
  <c r="AR230" i="14"/>
  <c r="AJ230" i="14"/>
  <c r="AJ25" i="14" s="1"/>
  <c r="AK230" i="14"/>
  <c r="AK232" i="14"/>
  <c r="AN232" i="14"/>
  <c r="AJ232" i="14"/>
  <c r="AJ27" i="14" s="1"/>
  <c r="AP232" i="14"/>
  <c r="AO232" i="14"/>
  <c r="AR232" i="14"/>
  <c r="AL232" i="14"/>
  <c r="AQ232" i="14"/>
  <c r="AM232" i="14"/>
  <c r="AL229" i="14"/>
  <c r="AJ229" i="14"/>
  <c r="AQ229" i="14"/>
  <c r="AK229" i="14"/>
  <c r="AO229" i="14"/>
  <c r="AR229" i="14"/>
  <c r="AN229" i="14"/>
  <c r="AM229" i="14"/>
  <c r="AP229" i="14"/>
  <c r="AL231" i="14"/>
  <c r="AK231" i="14"/>
  <c r="AM231" i="14"/>
  <c r="AJ231" i="14"/>
  <c r="AJ26" i="14" s="1"/>
  <c r="AP231" i="14"/>
  <c r="AO231" i="14"/>
  <c r="AR231" i="14"/>
  <c r="AN231" i="14"/>
  <c r="AQ231" i="14"/>
  <c r="AJ24" i="14" l="1"/>
  <c r="AJ30" i="14" s="1"/>
  <c r="AJ217" i="14"/>
  <c r="AJ220" i="14"/>
  <c r="AJ219" i="14"/>
  <c r="AJ218" i="14"/>
  <c r="AJ221" i="14"/>
  <c r="AO221" i="14" l="1"/>
  <c r="AN221" i="14"/>
  <c r="AL221" i="14"/>
  <c r="AP221" i="14"/>
  <c r="AM221" i="14"/>
  <c r="AR221" i="14"/>
  <c r="AQ221" i="14"/>
  <c r="AK221" i="14"/>
  <c r="AK209" i="14" s="1"/>
  <c r="AK28" i="14" s="1"/>
  <c r="AL220" i="14"/>
  <c r="AK220" i="14"/>
  <c r="AR220" i="14"/>
  <c r="AQ220" i="14"/>
  <c r="AP220" i="14"/>
  <c r="AO220" i="14"/>
  <c r="AN220" i="14"/>
  <c r="AM220" i="14"/>
  <c r="AO217" i="14"/>
  <c r="AN217" i="14"/>
  <c r="AM217" i="14"/>
  <c r="AL217" i="14"/>
  <c r="AR217" i="14"/>
  <c r="AQ217" i="14"/>
  <c r="AP217" i="14"/>
  <c r="AK217" i="14"/>
  <c r="AR218" i="14"/>
  <c r="AQ218" i="14"/>
  <c r="AO218" i="14"/>
  <c r="AM218" i="14"/>
  <c r="AL218" i="14"/>
  <c r="AK218" i="14"/>
  <c r="AP218" i="14"/>
  <c r="AN218" i="14"/>
  <c r="AR219" i="14"/>
  <c r="AP219" i="14"/>
  <c r="AO219" i="14"/>
  <c r="AN219" i="14"/>
  <c r="AM219" i="14"/>
  <c r="AL219" i="14"/>
  <c r="AK219" i="14"/>
  <c r="AQ219" i="14"/>
  <c r="AJ17" i="25"/>
  <c r="AJ21" i="31"/>
  <c r="AJ17" i="27"/>
  <c r="AJ17" i="33"/>
  <c r="AJ19" i="23"/>
  <c r="AK205" i="14" l="1"/>
  <c r="AK24" i="14" s="1"/>
  <c r="AK208" i="14"/>
  <c r="AK206" i="14"/>
  <c r="AK207" i="14"/>
  <c r="AP205" i="14"/>
  <c r="AP207" i="14"/>
  <c r="AR208" i="14"/>
  <c r="AR205" i="14"/>
  <c r="AL208" i="14"/>
  <c r="AN206" i="14"/>
  <c r="AL205" i="14"/>
  <c r="AP206" i="14"/>
  <c r="AR209" i="14"/>
  <c r="AN207" i="14"/>
  <c r="AQ208" i="14"/>
  <c r="AO207" i="14"/>
  <c r="AQ205" i="14"/>
  <c r="AR207" i="14"/>
  <c r="AM205" i="14"/>
  <c r="AQ209" i="14"/>
  <c r="AN205" i="14"/>
  <c r="AL206" i="14"/>
  <c r="AO205" i="14"/>
  <c r="AQ207" i="14"/>
  <c r="AM206" i="14"/>
  <c r="AM208" i="14"/>
  <c r="AP209" i="14"/>
  <c r="AO206" i="14"/>
  <c r="AN208" i="14"/>
  <c r="AL209" i="14"/>
  <c r="AL207" i="14"/>
  <c r="AQ206" i="14"/>
  <c r="AO208" i="14"/>
  <c r="AN209" i="14"/>
  <c r="AM207" i="14"/>
  <c r="AR206" i="14"/>
  <c r="AP208" i="14"/>
  <c r="AO209" i="14"/>
  <c r="AJ18" i="23" l="1"/>
  <c r="AJ16" i="25"/>
  <c r="AJ16" i="21"/>
  <c r="AI51" i="8"/>
  <c r="AI50" i="8"/>
  <c r="AI49" i="8"/>
  <c r="AI53" i="8"/>
  <c r="AK26" i="14"/>
  <c r="AK25" i="14"/>
  <c r="AK27" i="14"/>
  <c r="AI11" i="8"/>
  <c r="AI23" i="8"/>
  <c r="AI33" i="8"/>
  <c r="AI43" i="8"/>
  <c r="AI29" i="8"/>
  <c r="AI38" i="8"/>
  <c r="AI22" i="8"/>
  <c r="AI27" i="8"/>
  <c r="AI34" i="8"/>
  <c r="AI45" i="8"/>
  <c r="AI15" i="8"/>
  <c r="AI35" i="8"/>
  <c r="AI30" i="8"/>
  <c r="AI17" i="8"/>
  <c r="AI37" i="8"/>
  <c r="AI12" i="8"/>
  <c r="AI39" i="8"/>
  <c r="AI28" i="8"/>
  <c r="AI24" i="8"/>
  <c r="AI46" i="8"/>
  <c r="AI36" i="8"/>
  <c r="AI10" i="8"/>
  <c r="AI44" i="8"/>
  <c r="AI18" i="8"/>
  <c r="AI40" i="8"/>
  <c r="AI54" i="8"/>
  <c r="AI16" i="8"/>
  <c r="AI6" i="6" l="1"/>
  <c r="AJ8" i="41" s="1"/>
  <c r="AI7" i="6"/>
  <c r="AK7" i="45"/>
  <c r="AK6" i="45"/>
  <c r="AI6" i="3"/>
  <c r="AJ7" i="41" s="1"/>
  <c r="AI7" i="3"/>
  <c r="AK6" i="7"/>
  <c r="AL9" i="41" s="1"/>
  <c r="AL6" i="45"/>
  <c r="AL7" i="45"/>
  <c r="AI6" i="45"/>
  <c r="AI7" i="45"/>
  <c r="AL6" i="6"/>
  <c r="AM8" i="41" s="1"/>
  <c r="AI52" i="8"/>
  <c r="AI48" i="8" s="1"/>
  <c r="AK7" i="6"/>
  <c r="AL40" i="14"/>
  <c r="AK196" i="14"/>
  <c r="C13" i="44"/>
  <c r="AI19" i="8"/>
  <c r="AI6" i="7"/>
  <c r="AJ9" i="41" s="1"/>
  <c r="AI9" i="8"/>
  <c r="AJ12" i="21"/>
  <c r="AJ13" i="23"/>
  <c r="AJ12" i="31"/>
  <c r="AJ12" i="23"/>
  <c r="AJ11" i="27"/>
  <c r="AI26" i="8"/>
  <c r="AJ16" i="31"/>
  <c r="AJ15" i="31"/>
  <c r="AJ13" i="33"/>
  <c r="AJ12" i="25"/>
  <c r="AI21" i="8"/>
  <c r="AJ11" i="33"/>
  <c r="AI42" i="8"/>
  <c r="AJ13" i="21"/>
  <c r="AJ14" i="23"/>
  <c r="AJ14" i="31"/>
  <c r="AJ12" i="33"/>
  <c r="AJ14" i="27"/>
  <c r="AJ14" i="25"/>
  <c r="AJ13" i="27"/>
  <c r="AJ13" i="25"/>
  <c r="AJ14" i="21"/>
  <c r="AJ13" i="31"/>
  <c r="AJ15" i="23"/>
  <c r="AJ18" i="31"/>
  <c r="AJ14" i="33"/>
  <c r="AJ12" i="27"/>
  <c r="AI32" i="8"/>
  <c r="AJ11" i="31"/>
  <c r="AJ17" i="31"/>
  <c r="U14" i="45" l="1"/>
  <c r="L14" i="45"/>
  <c r="AB14" i="45"/>
  <c r="O14" i="45"/>
  <c r="O7" i="45" s="1"/>
  <c r="M14" i="45"/>
  <c r="E14" i="45"/>
  <c r="E6" i="45" s="1"/>
  <c r="X14" i="45"/>
  <c r="S14" i="45"/>
  <c r="P14" i="45"/>
  <c r="P6" i="45" s="1"/>
  <c r="Z14" i="45"/>
  <c r="AA14" i="45"/>
  <c r="W14" i="45"/>
  <c r="V14" i="45"/>
  <c r="AP196" i="14"/>
  <c r="AP184" i="14" s="1"/>
  <c r="AR196" i="14"/>
  <c r="AR184" i="14" s="1"/>
  <c r="AQ196" i="14"/>
  <c r="AQ184" i="14" s="1"/>
  <c r="AO196" i="14"/>
  <c r="AO184" i="14" s="1"/>
  <c r="F14" i="45"/>
  <c r="Q14" i="45"/>
  <c r="AN196" i="14"/>
  <c r="AN184" i="14" s="1"/>
  <c r="AM196" i="14"/>
  <c r="AM184" i="14" s="1"/>
  <c r="C14" i="45"/>
  <c r="AM10" i="41"/>
  <c r="AJ10" i="41"/>
  <c r="AL10" i="41"/>
  <c r="AJ17" i="41"/>
  <c r="AJ18" i="41"/>
  <c r="AJ16" i="41"/>
  <c r="AJ15" i="41"/>
  <c r="AJ36" i="41"/>
  <c r="AJ13" i="41"/>
  <c r="AJ23" i="41"/>
  <c r="AL41" i="14"/>
  <c r="AL7" i="3"/>
  <c r="AL6" i="3"/>
  <c r="AM7" i="41" s="1"/>
  <c r="AK7" i="3"/>
  <c r="AK7" i="7"/>
  <c r="AL7" i="7"/>
  <c r="AK6" i="6"/>
  <c r="AL7" i="6"/>
  <c r="AI7" i="7"/>
  <c r="AK6" i="3"/>
  <c r="AL7" i="41" s="1"/>
  <c r="AL6" i="7"/>
  <c r="AM9" i="41" s="1"/>
  <c r="C14" i="44"/>
  <c r="F14" i="44" s="1"/>
  <c r="AL37" i="14"/>
  <c r="J15" i="44"/>
  <c r="M15" i="44" s="1"/>
  <c r="J13" i="44"/>
  <c r="M13" i="44" s="1"/>
  <c r="J10" i="44"/>
  <c r="AK197" i="14"/>
  <c r="AL196" i="14"/>
  <c r="AL184" i="14" s="1"/>
  <c r="C10" i="44"/>
  <c r="AL39" i="14"/>
  <c r="J12" i="44"/>
  <c r="M12" i="44" s="1"/>
  <c r="C12" i="44"/>
  <c r="F12" i="44" s="1"/>
  <c r="AK195" i="14"/>
  <c r="AK194" i="14"/>
  <c r="C11" i="44"/>
  <c r="F11" i="44" s="1"/>
  <c r="C9" i="44"/>
  <c r="J9" i="44"/>
  <c r="AL36" i="14"/>
  <c r="AL168" i="14" s="1"/>
  <c r="AR168" i="14" s="1"/>
  <c r="J11" i="44"/>
  <c r="M11" i="44" s="1"/>
  <c r="AL38" i="14"/>
  <c r="J14" i="44"/>
  <c r="M14" i="44" s="1"/>
  <c r="F13" i="44"/>
  <c r="AJ10" i="12"/>
  <c r="AJ15" i="12"/>
  <c r="AJ13" i="12"/>
  <c r="AJ12" i="12"/>
  <c r="AJ14" i="12"/>
  <c r="AI14" i="8"/>
  <c r="AJ16" i="23"/>
  <c r="AJ15" i="25"/>
  <c r="AJ14" i="14"/>
  <c r="AJ19" i="31"/>
  <c r="AJ16" i="14"/>
  <c r="AJ12" i="14"/>
  <c r="AJ15" i="21"/>
  <c r="AJ17" i="14"/>
  <c r="AJ15" i="33"/>
  <c r="AJ15" i="14"/>
  <c r="AJ15" i="27"/>
  <c r="O6" i="45" l="1"/>
  <c r="P7" i="45"/>
  <c r="E7" i="45"/>
  <c r="Q10" i="41"/>
  <c r="F10" i="41"/>
  <c r="AC14" i="45"/>
  <c r="AC7" i="45" s="1"/>
  <c r="T14" i="45"/>
  <c r="T7" i="45" s="1"/>
  <c r="J14" i="45"/>
  <c r="J6" i="45" s="1"/>
  <c r="AG14" i="45"/>
  <c r="N14" i="45"/>
  <c r="AF14" i="45"/>
  <c r="AB6" i="45"/>
  <c r="AB7" i="45"/>
  <c r="AA6" i="45"/>
  <c r="AA7" i="45"/>
  <c r="S7" i="45"/>
  <c r="S6" i="45"/>
  <c r="AE14" i="45"/>
  <c r="U7" i="45"/>
  <c r="U6" i="45"/>
  <c r="M7" i="45"/>
  <c r="M6" i="45"/>
  <c r="Y14" i="45"/>
  <c r="R14" i="45"/>
  <c r="R6" i="45" s="1"/>
  <c r="I14" i="45"/>
  <c r="H14" i="45"/>
  <c r="G14" i="45"/>
  <c r="AH14" i="45"/>
  <c r="K14" i="45"/>
  <c r="AD14" i="45"/>
  <c r="D14" i="45"/>
  <c r="W6" i="45"/>
  <c r="W7" i="45"/>
  <c r="Q7" i="45"/>
  <c r="Q6" i="45"/>
  <c r="Z6" i="45"/>
  <c r="Z7" i="45"/>
  <c r="V6" i="45"/>
  <c r="V7" i="45"/>
  <c r="F6" i="45"/>
  <c r="F7" i="45"/>
  <c r="L6" i="45"/>
  <c r="L7" i="45"/>
  <c r="C7" i="45"/>
  <c r="C6" i="45"/>
  <c r="X6" i="45"/>
  <c r="X7" i="45"/>
  <c r="AJ28" i="41"/>
  <c r="AJ29" i="41"/>
  <c r="AJ14" i="41"/>
  <c r="AJ30" i="41"/>
  <c r="AJ41" i="41"/>
  <c r="AJ42" i="41"/>
  <c r="AL8" i="41"/>
  <c r="AP8" i="41" s="1"/>
  <c r="AO14" i="41"/>
  <c r="AK193" i="14"/>
  <c r="AQ193" i="14" s="1"/>
  <c r="AQ181" i="14" s="1"/>
  <c r="C15" i="44"/>
  <c r="F15" i="44" s="1"/>
  <c r="AR197" i="14"/>
  <c r="AR185" i="14" s="1"/>
  <c r="AL197" i="14"/>
  <c r="AL185" i="14" s="1"/>
  <c r="AL28" i="14" s="1"/>
  <c r="AO197" i="14"/>
  <c r="AO185" i="14" s="1"/>
  <c r="AQ197" i="14"/>
  <c r="AQ185" i="14" s="1"/>
  <c r="AN197" i="14"/>
  <c r="AN185" i="14" s="1"/>
  <c r="AP197" i="14"/>
  <c r="AP185" i="14" s="1"/>
  <c r="AM197" i="14"/>
  <c r="AO10" i="41"/>
  <c r="AP10" i="41"/>
  <c r="AP14" i="41"/>
  <c r="AP17" i="41"/>
  <c r="AO17" i="41"/>
  <c r="AO195" i="14"/>
  <c r="AO183" i="14" s="1"/>
  <c r="AR195" i="14"/>
  <c r="AR183" i="14" s="1"/>
  <c r="AN195" i="14"/>
  <c r="AN183" i="14" s="1"/>
  <c r="AQ195" i="14"/>
  <c r="AQ183" i="14" s="1"/>
  <c r="AM195" i="14"/>
  <c r="AM183" i="14" s="1"/>
  <c r="AP195" i="14"/>
  <c r="AP183" i="14" s="1"/>
  <c r="AL195" i="14"/>
  <c r="AL183" i="14" s="1"/>
  <c r="AL26" i="14" s="1"/>
  <c r="AP16" i="41"/>
  <c r="AO16" i="41"/>
  <c r="AO13" i="41"/>
  <c r="AP13" i="41"/>
  <c r="AO15" i="41"/>
  <c r="AP15" i="41"/>
  <c r="AP194" i="14"/>
  <c r="AP182" i="14" s="1"/>
  <c r="AM194" i="14"/>
  <c r="AM182" i="14" s="1"/>
  <c r="AR194" i="14"/>
  <c r="AR182" i="14" s="1"/>
  <c r="AL194" i="14"/>
  <c r="AL182" i="14" s="1"/>
  <c r="AL25" i="14" s="1"/>
  <c r="AO194" i="14"/>
  <c r="AO182" i="14" s="1"/>
  <c r="AQ194" i="14"/>
  <c r="AQ182" i="14" s="1"/>
  <c r="AN194" i="14"/>
  <c r="AN182" i="14" s="1"/>
  <c r="AO7" i="41"/>
  <c r="AP7" i="41"/>
  <c r="C16" i="44"/>
  <c r="AP18" i="41"/>
  <c r="AO18" i="41"/>
  <c r="AP9" i="41"/>
  <c r="AO9" i="41"/>
  <c r="AL172" i="14"/>
  <c r="AO172" i="14" s="1"/>
  <c r="AO160" i="14" s="1"/>
  <c r="AL27" i="14"/>
  <c r="F10" i="44"/>
  <c r="F9" i="44"/>
  <c r="AJ11" i="12"/>
  <c r="AJ16" i="12" s="1"/>
  <c r="M10" i="44"/>
  <c r="AI7" i="8"/>
  <c r="AI6" i="8"/>
  <c r="AI14" i="9" s="1"/>
  <c r="AJ17" i="23"/>
  <c r="AJ13" i="14"/>
  <c r="AJ11" i="14" s="1"/>
  <c r="M9" i="44"/>
  <c r="P10" i="41" l="1"/>
  <c r="AL173" i="14"/>
  <c r="AO173" i="14" s="1"/>
  <c r="AO161" i="14" s="1"/>
  <c r="AC10" i="41"/>
  <c r="T10" i="41"/>
  <c r="R7" i="45"/>
  <c r="T6" i="45"/>
  <c r="J7" i="45"/>
  <c r="AC6" i="45"/>
  <c r="AF6" i="45"/>
  <c r="AF7" i="45"/>
  <c r="AG7" i="45"/>
  <c r="AG6" i="45"/>
  <c r="N6" i="45"/>
  <c r="N7" i="45"/>
  <c r="Y7" i="45"/>
  <c r="Y6" i="45"/>
  <c r="K7" i="45"/>
  <c r="K6" i="45"/>
  <c r="I6" i="45"/>
  <c r="I7" i="45"/>
  <c r="V10" i="41"/>
  <c r="AD6" i="45"/>
  <c r="AD7" i="45"/>
  <c r="H6" i="45"/>
  <c r="H7" i="45"/>
  <c r="AH6" i="45"/>
  <c r="AH7" i="45"/>
  <c r="G7" i="45"/>
  <c r="G6" i="45"/>
  <c r="AE6" i="45"/>
  <c r="AE7" i="45"/>
  <c r="K10" i="41"/>
  <c r="D6" i="45"/>
  <c r="D7" i="45"/>
  <c r="N10" i="41"/>
  <c r="AB10" i="41"/>
  <c r="AA10" i="41"/>
  <c r="X10" i="41"/>
  <c r="G10" i="41"/>
  <c r="W10" i="41"/>
  <c r="S10" i="41"/>
  <c r="R10" i="41"/>
  <c r="Y10" i="41"/>
  <c r="D10" i="41"/>
  <c r="M10" i="41"/>
  <c r="AR193" i="14"/>
  <c r="AR181" i="14" s="1"/>
  <c r="AN193" i="14"/>
  <c r="AN181" i="14" s="1"/>
  <c r="AI6" i="9"/>
  <c r="AI37" i="9"/>
  <c r="AI44" i="9"/>
  <c r="AI35" i="9"/>
  <c r="AI18" i="9"/>
  <c r="AI33" i="9"/>
  <c r="AI27" i="9"/>
  <c r="AI16" i="9"/>
  <c r="AI28" i="9"/>
  <c r="AI17" i="9"/>
  <c r="AI34" i="9"/>
  <c r="AI23" i="9"/>
  <c r="AI15" i="9"/>
  <c r="AI11" i="9"/>
  <c r="AI46" i="9"/>
  <c r="AI12" i="9"/>
  <c r="AI39" i="9"/>
  <c r="AI22" i="9"/>
  <c r="AI10" i="9"/>
  <c r="AI38" i="9"/>
  <c r="AI36" i="9"/>
  <c r="AI40" i="9"/>
  <c r="AI45" i="9"/>
  <c r="AI29" i="9"/>
  <c r="AI30" i="9"/>
  <c r="AI24" i="9"/>
  <c r="AI43" i="9"/>
  <c r="AI9" i="9"/>
  <c r="AI32" i="9"/>
  <c r="AI19" i="9"/>
  <c r="AI21" i="9"/>
  <c r="AI42" i="9"/>
  <c r="AI26" i="9"/>
  <c r="AL171" i="14"/>
  <c r="AM171" i="14" s="1"/>
  <c r="AM159" i="14" s="1"/>
  <c r="AJ34" i="41"/>
  <c r="AJ35" i="41"/>
  <c r="AM191" i="14"/>
  <c r="AM179" i="14" s="1"/>
  <c r="AO193" i="14"/>
  <c r="AO181" i="14" s="1"/>
  <c r="AO8" i="41"/>
  <c r="AJ6" i="41"/>
  <c r="AP193" i="14"/>
  <c r="AP181" i="14" s="1"/>
  <c r="AL193" i="14"/>
  <c r="AL181" i="14" s="1"/>
  <c r="AM193" i="14"/>
  <c r="AM181" i="14" s="1"/>
  <c r="AP6" i="41"/>
  <c r="AO6" i="41"/>
  <c r="AL170" i="14"/>
  <c r="AM170" i="14" s="1"/>
  <c r="AM158" i="14" s="1"/>
  <c r="AK192" i="14"/>
  <c r="AR192" i="14" s="1"/>
  <c r="AR180" i="14" s="1"/>
  <c r="AR156" i="14" s="1"/>
  <c r="AR132" i="14" s="1"/>
  <c r="AR108" i="14" s="1"/>
  <c r="AR84" i="14" s="1"/>
  <c r="AR60" i="14" s="1"/>
  <c r="AK199" i="14"/>
  <c r="AM172" i="14"/>
  <c r="AM160" i="14" s="1"/>
  <c r="AN172" i="14"/>
  <c r="AN160" i="14" s="1"/>
  <c r="AQ172" i="14"/>
  <c r="AQ160" i="14" s="1"/>
  <c r="AP172" i="14"/>
  <c r="AP160" i="14" s="1"/>
  <c r="AR172" i="14"/>
  <c r="AR160" i="14" s="1"/>
  <c r="F16" i="44"/>
  <c r="J16" i="44"/>
  <c r="N16" i="44" s="1"/>
  <c r="M16" i="44" s="1"/>
  <c r="AR17" i="21"/>
  <c r="AM173" i="14" l="1"/>
  <c r="AQ173" i="14"/>
  <c r="AQ161" i="14" s="1"/>
  <c r="AM26" i="14"/>
  <c r="AM17" i="27" s="1"/>
  <c r="AM147" i="14"/>
  <c r="AM25" i="14"/>
  <c r="AM17" i="25" s="1"/>
  <c r="AM146" i="14"/>
  <c r="AN173" i="14"/>
  <c r="AN161" i="14" s="1"/>
  <c r="AR173" i="14"/>
  <c r="AR161" i="14" s="1"/>
  <c r="AP173" i="14"/>
  <c r="AP161" i="14" s="1"/>
  <c r="U10" i="41"/>
  <c r="AD10" i="41"/>
  <c r="AG10" i="41"/>
  <c r="O10" i="41"/>
  <c r="AH10" i="41"/>
  <c r="AF10" i="41"/>
  <c r="I10" i="41"/>
  <c r="Z10" i="41"/>
  <c r="J10" i="41"/>
  <c r="AI10" i="41"/>
  <c r="AE10" i="41"/>
  <c r="E10" i="41"/>
  <c r="H10" i="41"/>
  <c r="L10" i="41"/>
  <c r="AP171" i="14"/>
  <c r="AP159" i="14" s="1"/>
  <c r="AN171" i="14"/>
  <c r="AN159" i="14" s="1"/>
  <c r="AQ171" i="14"/>
  <c r="AQ159" i="14" s="1"/>
  <c r="AO171" i="14"/>
  <c r="AO159" i="14" s="1"/>
  <c r="AL24" i="14"/>
  <c r="AL19" i="23" s="1"/>
  <c r="AL169" i="14"/>
  <c r="AQ170" i="14"/>
  <c r="AQ158" i="14" s="1"/>
  <c r="AN170" i="14"/>
  <c r="AN158" i="14" s="1"/>
  <c r="AO170" i="14"/>
  <c r="AO158" i="14" s="1"/>
  <c r="AR171" i="14"/>
  <c r="AR159" i="14" s="1"/>
  <c r="AP191" i="14"/>
  <c r="AP179" i="14" s="1"/>
  <c r="AR191" i="14"/>
  <c r="AR179" i="14" s="1"/>
  <c r="AO191" i="14"/>
  <c r="AO179" i="14" s="1"/>
  <c r="AL191" i="14"/>
  <c r="AL179" i="14" s="1"/>
  <c r="AL22" i="14" s="1"/>
  <c r="AQ191" i="14"/>
  <c r="AQ179" i="14" s="1"/>
  <c r="AN191" i="14"/>
  <c r="AN179" i="14" s="1"/>
  <c r="AP170" i="14"/>
  <c r="AP158" i="14" s="1"/>
  <c r="AR170" i="14"/>
  <c r="AR158" i="14" s="1"/>
  <c r="AQ199" i="14"/>
  <c r="AQ187" i="14" s="1"/>
  <c r="AO199" i="14"/>
  <c r="AO187" i="14" s="1"/>
  <c r="AN199" i="14"/>
  <c r="AN187" i="14" s="1"/>
  <c r="AM199" i="14"/>
  <c r="AM187" i="14" s="1"/>
  <c r="AR199" i="14"/>
  <c r="AR187" i="14" s="1"/>
  <c r="AL199" i="14"/>
  <c r="AL187" i="14" s="1"/>
  <c r="AL175" i="14" s="1"/>
  <c r="AP199" i="14"/>
  <c r="AP187" i="14" s="1"/>
  <c r="AM148" i="14"/>
  <c r="AR148" i="14" s="1"/>
  <c r="AR136" i="14" s="1"/>
  <c r="AM27" i="14"/>
  <c r="AM21" i="31" s="1"/>
  <c r="AK17" i="33"/>
  <c r="AK17" i="25"/>
  <c r="AL17" i="25"/>
  <c r="AL17" i="33"/>
  <c r="AL21" i="31"/>
  <c r="AK19" i="23"/>
  <c r="AK17" i="27"/>
  <c r="AK21" i="31"/>
  <c r="AL17" i="27"/>
  <c r="AN146" i="14" l="1"/>
  <c r="AN134" i="14" s="1"/>
  <c r="AN25" i="14" s="1"/>
  <c r="AN17" i="25" s="1"/>
  <c r="AQ146" i="14"/>
  <c r="AQ134" i="14" s="1"/>
  <c r="AQ110" i="14" s="1"/>
  <c r="AQ86" i="14" s="1"/>
  <c r="AQ62" i="14" s="1"/>
  <c r="AQ25" i="14" s="1"/>
  <c r="AQ17" i="25" s="1"/>
  <c r="AP146" i="14"/>
  <c r="AP134" i="14" s="1"/>
  <c r="AP110" i="14" s="1"/>
  <c r="AP86" i="14" s="1"/>
  <c r="AP25" i="14" s="1"/>
  <c r="AP17" i="25" s="1"/>
  <c r="AR146" i="14"/>
  <c r="AR134" i="14" s="1"/>
  <c r="AR110" i="14" s="1"/>
  <c r="AR86" i="14" s="1"/>
  <c r="AR62" i="14" s="1"/>
  <c r="AR25" i="14" s="1"/>
  <c r="AR17" i="25" s="1"/>
  <c r="AO146" i="14"/>
  <c r="AO134" i="14" s="1"/>
  <c r="AO110" i="14" s="1"/>
  <c r="AO25" i="14" s="1"/>
  <c r="AO17" i="25" s="1"/>
  <c r="AN147" i="14"/>
  <c r="AN135" i="14" s="1"/>
  <c r="AN26" i="14" s="1"/>
  <c r="AN17" i="27" s="1"/>
  <c r="AO147" i="14"/>
  <c r="AO135" i="14" s="1"/>
  <c r="AO111" i="14" s="1"/>
  <c r="AO26" i="14" s="1"/>
  <c r="AO17" i="27" s="1"/>
  <c r="AR147" i="14"/>
  <c r="AR135" i="14" s="1"/>
  <c r="AR111" i="14" s="1"/>
  <c r="AR87" i="14" s="1"/>
  <c r="AR63" i="14" s="1"/>
  <c r="AR26" i="14" s="1"/>
  <c r="AR17" i="27" s="1"/>
  <c r="AP147" i="14"/>
  <c r="AP135" i="14" s="1"/>
  <c r="AP111" i="14" s="1"/>
  <c r="AP87" i="14" s="1"/>
  <c r="AP26" i="14" s="1"/>
  <c r="AP17" i="27" s="1"/>
  <c r="AQ147" i="14"/>
  <c r="AQ135" i="14" s="1"/>
  <c r="AQ111" i="14" s="1"/>
  <c r="AQ87" i="14" s="1"/>
  <c r="AQ63" i="14" s="1"/>
  <c r="AQ26" i="14" s="1"/>
  <c r="AQ17" i="27" s="1"/>
  <c r="AR169" i="14"/>
  <c r="AR157" i="14" s="1"/>
  <c r="AN169" i="14"/>
  <c r="AN157" i="14" s="1"/>
  <c r="AM169" i="14"/>
  <c r="AM157" i="14" s="1"/>
  <c r="AO169" i="14"/>
  <c r="AO157" i="14" s="1"/>
  <c r="AP169" i="14"/>
  <c r="AP157" i="14" s="1"/>
  <c r="AQ169" i="14"/>
  <c r="AQ157" i="14" s="1"/>
  <c r="AL167" i="14"/>
  <c r="AP167" i="14" s="1"/>
  <c r="AP155" i="14" s="1"/>
  <c r="AM175" i="14"/>
  <c r="AM163" i="14" s="1"/>
  <c r="AM151" i="14" s="1"/>
  <c r="AN175" i="14"/>
  <c r="AN163" i="14" s="1"/>
  <c r="AQ175" i="14"/>
  <c r="AQ163" i="14" s="1"/>
  <c r="AO175" i="14"/>
  <c r="AO163" i="14" s="1"/>
  <c r="AP175" i="14"/>
  <c r="AP163" i="14" s="1"/>
  <c r="AR175" i="14"/>
  <c r="AR163" i="14" s="1"/>
  <c r="AO148" i="14"/>
  <c r="AO136" i="14" s="1"/>
  <c r="AN148" i="14"/>
  <c r="AN136" i="14" s="1"/>
  <c r="AP148" i="14"/>
  <c r="AP136" i="14" s="1"/>
  <c r="AQ148" i="14"/>
  <c r="AQ136" i="14" s="1"/>
  <c r="AO151" i="14" l="1"/>
  <c r="AO139" i="14" s="1"/>
  <c r="AO115" i="14" s="1"/>
  <c r="AN151" i="14"/>
  <c r="AN139" i="14" s="1"/>
  <c r="AQ151" i="14"/>
  <c r="AQ139" i="14" s="1"/>
  <c r="AQ115" i="14" s="1"/>
  <c r="AQ91" i="14" s="1"/>
  <c r="AQ67" i="14" s="1"/>
  <c r="AR151" i="14"/>
  <c r="AR139" i="14" s="1"/>
  <c r="AR115" i="14" s="1"/>
  <c r="AR91" i="14" s="1"/>
  <c r="AR67" i="14" s="1"/>
  <c r="AP151" i="14"/>
  <c r="AP139" i="14" s="1"/>
  <c r="AP115" i="14" s="1"/>
  <c r="AP91" i="14" s="1"/>
  <c r="AM24" i="14"/>
  <c r="AM19" i="23" s="1"/>
  <c r="AM145" i="14"/>
  <c r="AM167" i="14"/>
  <c r="AM155" i="14" s="1"/>
  <c r="AQ167" i="14"/>
  <c r="AQ155" i="14" s="1"/>
  <c r="AN167" i="14"/>
  <c r="AN155" i="14" s="1"/>
  <c r="AO167" i="14"/>
  <c r="AO155" i="14" s="1"/>
  <c r="AR167" i="14"/>
  <c r="AR155" i="14" s="1"/>
  <c r="AN124" i="14"/>
  <c r="AQ124" i="14" s="1"/>
  <c r="AQ112" i="14" s="1"/>
  <c r="AN27" i="14"/>
  <c r="AN21" i="31" s="1"/>
  <c r="AM22" i="14" l="1"/>
  <c r="AM143" i="14"/>
  <c r="AP145" i="14"/>
  <c r="AP133" i="14" s="1"/>
  <c r="AP109" i="14" s="1"/>
  <c r="AP85" i="14" s="1"/>
  <c r="AP24" i="14" s="1"/>
  <c r="AP19" i="23" s="1"/>
  <c r="AN145" i="14"/>
  <c r="AN133" i="14" s="1"/>
  <c r="AN24" i="14" s="1"/>
  <c r="AN19" i="23" s="1"/>
  <c r="AQ145" i="14"/>
  <c r="AQ133" i="14" s="1"/>
  <c r="AQ109" i="14" s="1"/>
  <c r="AQ85" i="14" s="1"/>
  <c r="AQ61" i="14" s="1"/>
  <c r="AQ24" i="14" s="1"/>
  <c r="AQ19" i="23" s="1"/>
  <c r="AO145" i="14"/>
  <c r="AO133" i="14" s="1"/>
  <c r="AO109" i="14" s="1"/>
  <c r="AO24" i="14" s="1"/>
  <c r="AO19" i="23" s="1"/>
  <c r="AR145" i="14"/>
  <c r="AR133" i="14" s="1"/>
  <c r="AR109" i="14" s="1"/>
  <c r="AR85" i="14" s="1"/>
  <c r="AR61" i="14" s="1"/>
  <c r="AR24" i="14" s="1"/>
  <c r="AR19" i="23" s="1"/>
  <c r="AR124" i="14"/>
  <c r="AR112" i="14" s="1"/>
  <c r="AP124" i="14"/>
  <c r="AP112" i="14" s="1"/>
  <c r="AO124" i="14"/>
  <c r="AO112" i="14" s="1"/>
  <c r="AO143" i="14" l="1"/>
  <c r="AO131" i="14" s="1"/>
  <c r="AO107" i="14" s="1"/>
  <c r="AO22" i="14" s="1"/>
  <c r="AP143" i="14"/>
  <c r="AP131" i="14" s="1"/>
  <c r="AP107" i="14" s="1"/>
  <c r="AP83" i="14" s="1"/>
  <c r="AP22" i="14" s="1"/>
  <c r="AQ143" i="14"/>
  <c r="AQ131" i="14" s="1"/>
  <c r="AQ107" i="14" s="1"/>
  <c r="AQ83" i="14" s="1"/>
  <c r="AQ59" i="14" s="1"/>
  <c r="AQ22" i="14" s="1"/>
  <c r="AN143" i="14"/>
  <c r="AN131" i="14" s="1"/>
  <c r="AN22" i="14" s="1"/>
  <c r="AR143" i="14"/>
  <c r="AR131" i="14" s="1"/>
  <c r="AR107" i="14" s="1"/>
  <c r="AR83" i="14" s="1"/>
  <c r="AR59" i="14" s="1"/>
  <c r="AR22" i="14" s="1"/>
  <c r="AO100" i="14"/>
  <c r="AR100" i="14" s="1"/>
  <c r="AR88" i="14" s="1"/>
  <c r="AO27" i="14"/>
  <c r="AO21" i="31" s="1"/>
  <c r="AP100" i="14" l="1"/>
  <c r="AP88" i="14" s="1"/>
  <c r="AQ100" i="14"/>
  <c r="AQ88" i="14" s="1"/>
  <c r="AP76" i="14" l="1"/>
  <c r="AQ76" i="14" s="1"/>
  <c r="AP27" i="14"/>
  <c r="AP21" i="31" s="1"/>
  <c r="AR76" i="14" l="1"/>
  <c r="AR64" i="14" s="1"/>
  <c r="AQ64" i="14"/>
  <c r="AQ52" i="14" l="1"/>
  <c r="AR52" i="14" s="1"/>
  <c r="AR27" i="14" s="1"/>
  <c r="AQ27" i="14"/>
  <c r="AQ21" i="31" s="1"/>
  <c r="AR21" i="31" l="1"/>
  <c r="AB39" i="8" l="1"/>
  <c r="J38" i="8"/>
  <c r="AH31" i="41"/>
  <c r="AB38" i="8"/>
  <c r="AC24" i="41"/>
  <c r="X29" i="8"/>
  <c r="U36" i="8"/>
  <c r="X38" i="8"/>
  <c r="AF31" i="41"/>
  <c r="AB36" i="8"/>
  <c r="Y34" i="8"/>
  <c r="L34" i="8"/>
  <c r="E36" i="8"/>
  <c r="AA37" i="8"/>
  <c r="M34" i="8"/>
  <c r="AD36" i="8"/>
  <c r="Q39" i="8"/>
  <c r="F39" i="8"/>
  <c r="H37" i="8"/>
  <c r="K38" i="8"/>
  <c r="AH38" i="8"/>
  <c r="F36" i="8"/>
  <c r="E37" i="8"/>
  <c r="AE39" i="8"/>
  <c r="T38" i="8"/>
  <c r="AI31" i="41"/>
  <c r="R39" i="8"/>
  <c r="G37" i="8"/>
  <c r="AG38" i="8"/>
  <c r="J34" i="8"/>
  <c r="AG31" i="41"/>
  <c r="W39" i="8"/>
  <c r="AE34" i="8"/>
  <c r="AC34" i="8"/>
  <c r="AA24" i="41"/>
  <c r="U37" i="8"/>
  <c r="C37" i="8"/>
  <c r="AH36" i="8"/>
  <c r="AA34" i="8"/>
  <c r="AC31" i="41"/>
  <c r="F38" i="8"/>
  <c r="AC37" i="41"/>
  <c r="AG34" i="8"/>
  <c r="AG37" i="41"/>
  <c r="P38" i="8"/>
  <c r="AI37" i="41"/>
  <c r="Q36" i="8"/>
  <c r="AD37" i="8"/>
  <c r="AH39" i="8"/>
  <c r="AA36" i="8"/>
  <c r="AB37" i="41"/>
  <c r="N38" i="8"/>
  <c r="K36" i="8"/>
  <c r="T34" i="8"/>
  <c r="W38" i="8"/>
  <c r="S34" i="8"/>
  <c r="G34" i="8"/>
  <c r="T36" i="8"/>
  <c r="E38" i="8"/>
  <c r="W36" i="8"/>
  <c r="AF46" i="8"/>
  <c r="P37" i="8"/>
  <c r="AE37" i="41"/>
  <c r="D35" i="8"/>
  <c r="AE31" i="41"/>
  <c r="AE24" i="41"/>
  <c r="AB24" i="41"/>
  <c r="M37" i="8"/>
  <c r="H38" i="8"/>
  <c r="AH34" i="8"/>
  <c r="AI24" i="41"/>
  <c r="AH12" i="8"/>
  <c r="T39" i="8"/>
  <c r="P36" i="8"/>
  <c r="AH37" i="8"/>
  <c r="Q40" i="8"/>
  <c r="AD39" i="8"/>
  <c r="C34" i="8"/>
  <c r="J16" i="8"/>
  <c r="V36" i="8"/>
  <c r="AD9" i="6"/>
  <c r="P29" i="8"/>
  <c r="AD24" i="41"/>
  <c r="H34" i="8"/>
  <c r="J39" i="8"/>
  <c r="O39" i="8"/>
  <c r="K34" i="8"/>
  <c r="AD34" i="8"/>
  <c r="O38" i="8"/>
  <c r="AD37" i="41"/>
  <c r="R45" i="8"/>
  <c r="F37" i="8"/>
  <c r="AB34" i="8"/>
  <c r="L38" i="8"/>
  <c r="AH50" i="8"/>
  <c r="AD44" i="8"/>
  <c r="Q37" i="8"/>
  <c r="F34" i="8"/>
  <c r="T35" i="8"/>
  <c r="H36" i="8"/>
  <c r="E40" i="8"/>
  <c r="E34" i="8"/>
  <c r="AH40" i="8"/>
  <c r="Z12" i="8"/>
  <c r="AB31" i="41"/>
  <c r="AH37" i="41"/>
  <c r="R36" i="8"/>
  <c r="M38" i="8"/>
  <c r="O37" i="8"/>
  <c r="AG36" i="8"/>
  <c r="AG39" i="8"/>
  <c r="L37" i="8"/>
  <c r="Y39" i="8"/>
  <c r="AA38" i="8"/>
  <c r="AE44" i="8"/>
  <c r="N37" i="8"/>
  <c r="T45" i="8"/>
  <c r="Q38" i="8"/>
  <c r="Z38" i="8"/>
  <c r="C38" i="8"/>
  <c r="AE28" i="8"/>
  <c r="L40" i="8"/>
  <c r="E44" i="8"/>
  <c r="P39" i="8"/>
  <c r="J37" i="8"/>
  <c r="Q35" i="8"/>
  <c r="W34" i="8"/>
  <c r="AF36" i="8"/>
  <c r="P34" i="8"/>
  <c r="AA29" i="8"/>
  <c r="W40" i="8"/>
  <c r="H18" i="8"/>
  <c r="X30" i="8"/>
  <c r="AB37" i="8"/>
  <c r="I37" i="8"/>
  <c r="S37" i="8"/>
  <c r="N44" i="8"/>
  <c r="I38" i="8"/>
  <c r="P9" i="7"/>
  <c r="I39" i="8"/>
  <c r="S39" i="8"/>
  <c r="AE40" i="8"/>
  <c r="U39" i="8"/>
  <c r="D17" i="8"/>
  <c r="M39" i="8"/>
  <c r="I24" i="8"/>
  <c r="AA39" i="8"/>
  <c r="AD31" i="41"/>
  <c r="D39" i="8"/>
  <c r="Z39" i="8"/>
  <c r="I34" i="8"/>
  <c r="D38" i="8"/>
  <c r="C45" i="8"/>
  <c r="J36" i="8"/>
  <c r="M28" i="8"/>
  <c r="E11" i="8"/>
  <c r="K39" i="8"/>
  <c r="P16" i="8"/>
  <c r="X37" i="8"/>
  <c r="Z54" i="8"/>
  <c r="N51" i="8"/>
  <c r="T44" i="8"/>
  <c r="V37" i="8"/>
  <c r="V53" i="8"/>
  <c r="W45" i="8"/>
  <c r="AB11" i="8"/>
  <c r="M53" i="8"/>
  <c r="C36" i="8"/>
  <c r="P51" i="8"/>
  <c r="AE38" i="8"/>
  <c r="R40" i="8"/>
  <c r="AE36" i="8"/>
  <c r="Y54" i="8"/>
  <c r="V38" i="8"/>
  <c r="U9" i="7"/>
  <c r="N39" i="8"/>
  <c r="R12" i="8"/>
  <c r="L30" i="8"/>
  <c r="S35" i="8"/>
  <c r="F46" i="8"/>
  <c r="AC11" i="8"/>
  <c r="AC37" i="8"/>
  <c r="W37" i="8"/>
  <c r="G40" i="8"/>
  <c r="V34" i="8"/>
  <c r="AG12" i="8"/>
  <c r="O54" i="8"/>
  <c r="G38" i="8"/>
  <c r="AG37" i="8"/>
  <c r="Z36" i="8"/>
  <c r="S36" i="8"/>
  <c r="O36" i="8"/>
  <c r="Y23" i="8"/>
  <c r="H9" i="6"/>
  <c r="D34" i="8"/>
  <c r="D36" i="8"/>
  <c r="X34" i="8"/>
  <c r="AH44" i="8"/>
  <c r="D53" i="8"/>
  <c r="N45" i="8"/>
  <c r="R34" i="8"/>
  <c r="U38" i="8"/>
  <c r="AE37" i="8"/>
  <c r="AF53" i="8"/>
  <c r="S38" i="8"/>
  <c r="Q34" i="8"/>
  <c r="I45" i="8"/>
  <c r="Y21" i="6"/>
  <c r="AH9" i="7"/>
  <c r="C30" i="8"/>
  <c r="M9" i="6"/>
  <c r="U34" i="8"/>
  <c r="AF17" i="8"/>
  <c r="X44" i="8"/>
  <c r="S54" i="8"/>
  <c r="M54" i="8"/>
  <c r="P18" i="8"/>
  <c r="R52" i="8"/>
  <c r="D40" i="8"/>
  <c r="C39" i="8"/>
  <c r="Z37" i="8"/>
  <c r="AF37" i="41"/>
  <c r="Y38" i="8"/>
  <c r="X28" i="8"/>
  <c r="AC38" i="8"/>
  <c r="N9" i="7"/>
  <c r="G36" i="8"/>
  <c r="AC39" i="8"/>
  <c r="W50" i="8"/>
  <c r="T37" i="8"/>
  <c r="P50" i="8"/>
  <c r="Y11" i="8"/>
  <c r="X26" i="7"/>
  <c r="AG44" i="8"/>
  <c r="X9" i="7"/>
  <c r="AG24" i="41"/>
  <c r="AD21" i="6"/>
  <c r="S44" i="8"/>
  <c r="AB40" i="8"/>
  <c r="R18" i="8"/>
  <c r="Z45" i="8"/>
  <c r="I36" i="8"/>
  <c r="Q45" i="8"/>
  <c r="V39" i="8"/>
  <c r="AD17" i="8"/>
  <c r="I53" i="8"/>
  <c r="S40" i="8"/>
  <c r="AD42" i="7"/>
  <c r="AD52" i="8"/>
  <c r="H53" i="8"/>
  <c r="V21" i="7"/>
  <c r="D37" i="8"/>
  <c r="J35" i="8"/>
  <c r="O46" i="8"/>
  <c r="AA37" i="41"/>
  <c r="F18" i="8"/>
  <c r="N34" i="8"/>
  <c r="T42" i="7"/>
  <c r="O34" i="8"/>
  <c r="N12" i="8"/>
  <c r="AD38" i="8"/>
  <c r="R37" i="8"/>
  <c r="AF24" i="41"/>
  <c r="M36" i="8"/>
  <c r="C29" i="8"/>
  <c r="N24" i="8"/>
  <c r="AD18" i="8"/>
  <c r="S30" i="8"/>
  <c r="Y35" i="8"/>
  <c r="AH17" i="8"/>
  <c r="AF38" i="8"/>
  <c r="N36" i="8"/>
  <c r="K11" i="8"/>
  <c r="F17" i="8"/>
  <c r="W12" i="8"/>
  <c r="R50" i="8"/>
  <c r="L36" i="8"/>
  <c r="Y45" i="8"/>
  <c r="AF11" i="8"/>
  <c r="Y37" i="8"/>
  <c r="E46" i="8"/>
  <c r="T54" i="8"/>
  <c r="AB23" i="8"/>
  <c r="Z34" i="8"/>
  <c r="P48" i="6"/>
  <c r="E39" i="8"/>
  <c r="L39" i="8"/>
  <c r="AA9" i="7"/>
  <c r="G28" i="8"/>
  <c r="AF54" i="8"/>
  <c r="L26" i="6"/>
  <c r="AG50" i="8"/>
  <c r="AF34" i="8"/>
  <c r="AH35" i="8"/>
  <c r="R38" i="8"/>
  <c r="G39" i="8"/>
  <c r="AC36" i="8"/>
  <c r="Z40" i="8"/>
  <c r="AD50" i="8"/>
  <c r="AC9" i="7"/>
  <c r="H26" i="6"/>
  <c r="AE51" i="8"/>
  <c r="C53" i="8"/>
  <c r="Y36" i="8"/>
  <c r="AF37" i="8"/>
  <c r="P21" i="7"/>
  <c r="U28" i="8"/>
  <c r="X45" i="8"/>
  <c r="AA23" i="8"/>
  <c r="G16" i="8"/>
  <c r="K50" i="8"/>
  <c r="M45" i="8"/>
  <c r="X16" i="8"/>
  <c r="X35" i="8"/>
  <c r="D54" i="8"/>
  <c r="V45" i="8"/>
  <c r="U23" i="8"/>
  <c r="C28" i="8"/>
  <c r="AH24" i="41"/>
  <c r="O35" i="8"/>
  <c r="M17" i="8"/>
  <c r="R9" i="6"/>
  <c r="K37" i="8"/>
  <c r="H39" i="8"/>
  <c r="S51" i="8"/>
  <c r="E54" i="8"/>
  <c r="G12" i="8"/>
  <c r="AA31" i="41"/>
  <c r="X36" i="8"/>
  <c r="AF39" i="8"/>
  <c r="X39" i="8"/>
  <c r="Q44" i="8" l="1"/>
  <c r="K44" i="8"/>
  <c r="X53" i="8"/>
  <c r="H23" i="8"/>
  <c r="X12" i="8"/>
  <c r="AB44" i="8"/>
  <c r="X14" i="6"/>
  <c r="AB46" i="8"/>
  <c r="S53" i="8"/>
  <c r="K12" i="8"/>
  <c r="L14" i="21" s="1"/>
  <c r="Q9" i="6"/>
  <c r="C14" i="6"/>
  <c r="H17" i="8"/>
  <c r="AG29" i="8"/>
  <c r="P23" i="8"/>
  <c r="AB18" i="8"/>
  <c r="Q23" i="8"/>
  <c r="V14" i="6"/>
  <c r="AD9" i="7"/>
  <c r="K42" i="7"/>
  <c r="K48" i="7"/>
  <c r="H46" i="8"/>
  <c r="I14" i="33" s="1"/>
  <c r="N54" i="8"/>
  <c r="T51" i="8"/>
  <c r="J21" i="6"/>
  <c r="J23" i="8"/>
  <c r="AG28" i="8"/>
  <c r="AA45" i="8"/>
  <c r="G11" i="8"/>
  <c r="AH23" i="8"/>
  <c r="K14" i="6"/>
  <c r="C40" i="8"/>
  <c r="AJ40" i="10" s="1"/>
  <c r="J14" i="6"/>
  <c r="E42" i="3"/>
  <c r="AC30" i="8"/>
  <c r="AC30" i="10" s="1"/>
  <c r="K46" i="8"/>
  <c r="L14" i="33" s="1"/>
  <c r="W9" i="6"/>
  <c r="U9" i="6"/>
  <c r="D48" i="7"/>
  <c r="M16" i="8"/>
  <c r="O40" i="8"/>
  <c r="S18" i="8"/>
  <c r="R24" i="8"/>
  <c r="V46" i="8"/>
  <c r="W14" i="33" s="1"/>
  <c r="V9" i="6"/>
  <c r="AD45" i="8"/>
  <c r="AA9" i="6"/>
  <c r="K48" i="6"/>
  <c r="O51" i="8"/>
  <c r="S17" i="8"/>
  <c r="F28" i="8"/>
  <c r="T12" i="8"/>
  <c r="S14" i="6"/>
  <c r="D16" i="8"/>
  <c r="AH9" i="6"/>
  <c r="E48" i="7"/>
  <c r="R44" i="8"/>
  <c r="AC40" i="8"/>
  <c r="H42" i="3"/>
  <c r="V48" i="6"/>
  <c r="AH46" i="8"/>
  <c r="AE42" i="7"/>
  <c r="U26" i="7"/>
  <c r="Q26" i="6"/>
  <c r="R29" i="8"/>
  <c r="N17" i="8"/>
  <c r="R9" i="7"/>
  <c r="R17" i="8"/>
  <c r="S14" i="23" s="1"/>
  <c r="K17" i="8"/>
  <c r="N21" i="6"/>
  <c r="P11" i="8"/>
  <c r="Q13" i="21" s="1"/>
  <c r="AA14" i="6"/>
  <c r="M21" i="7"/>
  <c r="I29" i="8"/>
  <c r="Z26" i="6"/>
  <c r="W29" i="8"/>
  <c r="J40" i="8"/>
  <c r="Z44" i="8"/>
  <c r="W18" i="8"/>
  <c r="X15" i="23" s="1"/>
  <c r="AE35" i="8"/>
  <c r="AF13" i="31" s="1"/>
  <c r="R26" i="7"/>
  <c r="AF40" i="8"/>
  <c r="AG18" i="31" s="1"/>
  <c r="I16" i="8"/>
  <c r="J13" i="23" s="1"/>
  <c r="C18" i="8"/>
  <c r="H18" i="10" s="1"/>
  <c r="D29" i="8"/>
  <c r="D29" i="10" s="1"/>
  <c r="C46" i="8"/>
  <c r="D14" i="33" s="1"/>
  <c r="X54" i="8"/>
  <c r="S45" i="8"/>
  <c r="AC44" i="8"/>
  <c r="G35" i="8"/>
  <c r="H13" i="31" s="1"/>
  <c r="W26" i="7"/>
  <c r="H48" i="7"/>
  <c r="AC23" i="8"/>
  <c r="Z46" i="8"/>
  <c r="AA14" i="33" s="1"/>
  <c r="T32" i="7"/>
  <c r="D26" i="6"/>
  <c r="W21" i="7"/>
  <c r="AA44" i="8"/>
  <c r="P35" i="8"/>
  <c r="M51" i="8"/>
  <c r="AG40" i="8"/>
  <c r="N35" i="8"/>
  <c r="K32" i="7"/>
  <c r="F21" i="7"/>
  <c r="S52" i="8"/>
  <c r="AH45" i="8"/>
  <c r="AI13" i="33" s="1"/>
  <c r="H11" i="8"/>
  <c r="I13" i="21" s="1"/>
  <c r="X23" i="8"/>
  <c r="Y13" i="25" s="1"/>
  <c r="H12" i="8"/>
  <c r="R11" i="8"/>
  <c r="P21" i="6"/>
  <c r="I21" i="6"/>
  <c r="F44" i="8"/>
  <c r="W28" i="8"/>
  <c r="P44" i="8"/>
  <c r="H9" i="7"/>
  <c r="D26" i="7"/>
  <c r="O32" i="7"/>
  <c r="U51" i="8"/>
  <c r="S21" i="6"/>
  <c r="Q51" i="8"/>
  <c r="L44" i="8"/>
  <c r="S24" i="8"/>
  <c r="K35" i="8"/>
  <c r="AB30" i="8"/>
  <c r="AD32" i="6"/>
  <c r="AH54" i="8"/>
  <c r="C52" i="8"/>
  <c r="R52" i="10" s="1"/>
  <c r="C9" i="7"/>
  <c r="I14" i="6"/>
  <c r="AG9" i="6"/>
  <c r="I32" i="6"/>
  <c r="G24" i="8"/>
  <c r="H16" i="8"/>
  <c r="D9" i="6"/>
  <c r="D50" i="8"/>
  <c r="Y44" i="8"/>
  <c r="AD46" i="8"/>
  <c r="H45" i="8"/>
  <c r="AA26" i="7"/>
  <c r="AB29" i="8"/>
  <c r="K40" i="8"/>
  <c r="Y26" i="6"/>
  <c r="E35" i="8"/>
  <c r="F13" i="31" s="1"/>
  <c r="AB17" i="8"/>
  <c r="AB54" i="8"/>
  <c r="AE54" i="8"/>
  <c r="V23" i="8"/>
  <c r="D28" i="8"/>
  <c r="D28" i="10" s="1"/>
  <c r="AH26" i="7"/>
  <c r="V51" i="8"/>
  <c r="H24" i="8"/>
  <c r="I14" i="25" s="1"/>
  <c r="U35" i="8"/>
  <c r="E9" i="7"/>
  <c r="F42" i="3"/>
  <c r="AD48" i="7"/>
  <c r="AH42" i="3"/>
  <c r="L14" i="6"/>
  <c r="F23" i="8"/>
  <c r="P26" i="6"/>
  <c r="AB35" i="8"/>
  <c r="AG26" i="6"/>
  <c r="U21" i="7"/>
  <c r="Y17" i="8"/>
  <c r="Z14" i="23" s="1"/>
  <c r="G26" i="7"/>
  <c r="AA21" i="6"/>
  <c r="AE46" i="8"/>
  <c r="Y14" i="6"/>
  <c r="AC45" i="8"/>
  <c r="S23" i="8"/>
  <c r="U40" i="8"/>
  <c r="V52" i="8"/>
  <c r="I30" i="8"/>
  <c r="E18" i="8"/>
  <c r="E12" i="8"/>
  <c r="AG23" i="8"/>
  <c r="AH13" i="25" s="1"/>
  <c r="AH21" i="6"/>
  <c r="X9" i="6"/>
  <c r="I40" i="8"/>
  <c r="J18" i="31" s="1"/>
  <c r="R26" i="6"/>
  <c r="I21" i="7"/>
  <c r="AG51" i="8"/>
  <c r="F26" i="7"/>
  <c r="R35" i="8"/>
  <c r="E50" i="8"/>
  <c r="I18" i="8"/>
  <c r="AA16" i="8"/>
  <c r="X21" i="7"/>
  <c r="AE21" i="7"/>
  <c r="O21" i="6"/>
  <c r="Y46" i="8"/>
  <c r="AH26" i="6"/>
  <c r="V26" i="7"/>
  <c r="Z30" i="8"/>
  <c r="L21" i="7"/>
  <c r="Q54" i="8"/>
  <c r="AH32" i="6"/>
  <c r="C26" i="6"/>
  <c r="H14" i="6"/>
  <c r="I54" i="8"/>
  <c r="U46" i="8"/>
  <c r="R28" i="8"/>
  <c r="R28" i="10" s="1"/>
  <c r="G44" i="8"/>
  <c r="H12" i="33" s="1"/>
  <c r="H21" i="7"/>
  <c r="C12" i="8"/>
  <c r="W12" i="10" s="1"/>
  <c r="N50" i="8"/>
  <c r="P19" i="8"/>
  <c r="M14" i="7"/>
  <c r="L19" i="8"/>
  <c r="R19" i="8"/>
  <c r="F19" i="8"/>
  <c r="O19" i="8"/>
  <c r="H14" i="7"/>
  <c r="Q19" i="8"/>
  <c r="AA14" i="7"/>
  <c r="I14" i="7"/>
  <c r="AE19" i="8"/>
  <c r="G14" i="7"/>
  <c r="E14" i="7"/>
  <c r="AC14" i="7"/>
  <c r="V14" i="7"/>
  <c r="S19" i="8"/>
  <c r="K19" i="8"/>
  <c r="AG19" i="8"/>
  <c r="N14" i="7"/>
  <c r="C19" i="8"/>
  <c r="AB19" i="8"/>
  <c r="U19" i="8"/>
  <c r="AF14" i="7"/>
  <c r="T19" i="8"/>
  <c r="J19" i="8"/>
  <c r="D19" i="8"/>
  <c r="Y14" i="7"/>
  <c r="W14" i="7"/>
  <c r="Z14" i="7"/>
  <c r="H48" i="3"/>
  <c r="H49" i="8"/>
  <c r="W29" i="10"/>
  <c r="X13" i="27"/>
  <c r="AH21" i="7"/>
  <c r="L48" i="7"/>
  <c r="I15" i="23"/>
  <c r="V14" i="3"/>
  <c r="V15" i="8"/>
  <c r="W9" i="3"/>
  <c r="W10" i="8"/>
  <c r="G32" i="7"/>
  <c r="AG21" i="6"/>
  <c r="AE12" i="8"/>
  <c r="AC29" i="8"/>
  <c r="M15" i="31"/>
  <c r="L37" i="10"/>
  <c r="F29" i="8"/>
  <c r="AG48" i="6"/>
  <c r="J9" i="7"/>
  <c r="E13" i="27"/>
  <c r="AF14" i="6"/>
  <c r="AE32" i="6"/>
  <c r="AD16" i="21"/>
  <c r="C54" i="8"/>
  <c r="T54" i="10" s="1"/>
  <c r="K13" i="23"/>
  <c r="AD42" i="3"/>
  <c r="K42" i="3"/>
  <c r="AH16" i="8"/>
  <c r="F9" i="6"/>
  <c r="T13" i="33"/>
  <c r="S45" i="10"/>
  <c r="AD12" i="33"/>
  <c r="P37" i="10"/>
  <c r="Q15" i="31"/>
  <c r="AG14" i="33"/>
  <c r="AA26" i="6"/>
  <c r="T16" i="8"/>
  <c r="AC24" i="8"/>
  <c r="J26" i="3"/>
  <c r="J27" i="8"/>
  <c r="AD54" i="8"/>
  <c r="N18" i="8"/>
  <c r="O30" i="8"/>
  <c r="K45" i="8"/>
  <c r="F50" i="8"/>
  <c r="M9" i="7"/>
  <c r="E32" i="7"/>
  <c r="AD32" i="7"/>
  <c r="X33" i="8"/>
  <c r="X32" i="3"/>
  <c r="Z24" i="8"/>
  <c r="F40" i="8"/>
  <c r="M12" i="33"/>
  <c r="C23" i="8"/>
  <c r="Z21" i="6"/>
  <c r="AG16" i="25"/>
  <c r="AF48" i="7"/>
  <c r="K53" i="8"/>
  <c r="K53" i="10" s="1"/>
  <c r="F9" i="7"/>
  <c r="C35" i="8"/>
  <c r="G35" i="10" s="1"/>
  <c r="X27" i="8"/>
  <c r="X26" i="3"/>
  <c r="F42" i="6"/>
  <c r="F43" i="8"/>
  <c r="V48" i="3"/>
  <c r="V49" i="8"/>
  <c r="AF14" i="3"/>
  <c r="AF15" i="8"/>
  <c r="AD16" i="8"/>
  <c r="H15" i="31"/>
  <c r="G37" i="10"/>
  <c r="O48" i="3"/>
  <c r="O49" i="8"/>
  <c r="M14" i="6"/>
  <c r="Q32" i="7"/>
  <c r="C32" i="7"/>
  <c r="D14" i="3"/>
  <c r="D15" i="8"/>
  <c r="I26" i="6"/>
  <c r="M48" i="6"/>
  <c r="AG52" i="8"/>
  <c r="AD36" i="10"/>
  <c r="AE14" i="31"/>
  <c r="AH30" i="8"/>
  <c r="Q16" i="8"/>
  <c r="V9" i="7"/>
  <c r="AH51" i="8"/>
  <c r="Z23" i="8"/>
  <c r="V43" i="8"/>
  <c r="V42" i="6"/>
  <c r="P52" i="8"/>
  <c r="L17" i="8"/>
  <c r="AB38" i="10"/>
  <c r="AC16" i="31"/>
  <c r="P32" i="7"/>
  <c r="X14" i="21"/>
  <c r="G12" i="27"/>
  <c r="F28" i="10"/>
  <c r="W21" i="3"/>
  <c r="W22" i="8"/>
  <c r="T14" i="27"/>
  <c r="S30" i="10"/>
  <c r="AF49" i="8"/>
  <c r="AF48" i="3"/>
  <c r="U42" i="3"/>
  <c r="O14" i="21"/>
  <c r="M9" i="3"/>
  <c r="M10" i="8"/>
  <c r="AG16" i="21"/>
  <c r="D18" i="8"/>
  <c r="E21" i="7"/>
  <c r="H18" i="31"/>
  <c r="V53" i="10"/>
  <c r="Q13" i="23"/>
  <c r="G43" i="8"/>
  <c r="G42" i="6"/>
  <c r="E14" i="23"/>
  <c r="S39" i="10"/>
  <c r="T17" i="31"/>
  <c r="K18" i="31"/>
  <c r="AA12" i="33"/>
  <c r="O12" i="33"/>
  <c r="AH24" i="8"/>
  <c r="G45" i="8"/>
  <c r="V35" i="8"/>
  <c r="N32" i="6"/>
  <c r="AB33" i="8"/>
  <c r="AB32" i="3"/>
  <c r="S11" i="8"/>
  <c r="Y40" i="8"/>
  <c r="E26" i="6"/>
  <c r="AG13" i="21"/>
  <c r="V24" i="8"/>
  <c r="AG22" i="8"/>
  <c r="AG21" i="3"/>
  <c r="AE15" i="23"/>
  <c r="AH32" i="3"/>
  <c r="AH33" i="8"/>
  <c r="W17" i="31"/>
  <c r="V39" i="10"/>
  <c r="Z26" i="7"/>
  <c r="T14" i="25"/>
  <c r="H14" i="3"/>
  <c r="H15" i="8"/>
  <c r="AA48" i="3"/>
  <c r="AA49" i="8"/>
  <c r="AG26" i="7"/>
  <c r="AE29" i="8"/>
  <c r="U38" i="10"/>
  <c r="V16" i="31"/>
  <c r="C51" i="8"/>
  <c r="Y21" i="3"/>
  <c r="Y22" i="8"/>
  <c r="L48" i="3"/>
  <c r="L49" i="8"/>
  <c r="AE9" i="7"/>
  <c r="H16" i="31"/>
  <c r="G38" i="10"/>
  <c r="W37" i="10"/>
  <c r="X15" i="31"/>
  <c r="T9" i="7"/>
  <c r="S18" i="31"/>
  <c r="G32" i="3"/>
  <c r="G33" i="8"/>
  <c r="X15" i="8"/>
  <c r="X14" i="3"/>
  <c r="J44" i="8"/>
  <c r="T32" i="6"/>
  <c r="W26" i="6"/>
  <c r="AA17" i="31"/>
  <c r="Z39" i="10"/>
  <c r="H28" i="8"/>
  <c r="V17" i="31"/>
  <c r="U39" i="10"/>
  <c r="AD24" i="8"/>
  <c r="AG43" i="8"/>
  <c r="AG42" i="6"/>
  <c r="P28" i="8"/>
  <c r="J26" i="6"/>
  <c r="AB22" i="8"/>
  <c r="AB21" i="3"/>
  <c r="H26" i="3"/>
  <c r="H27" i="8"/>
  <c r="R13" i="31"/>
  <c r="P10" i="8"/>
  <c r="P9" i="3"/>
  <c r="R46" i="8"/>
  <c r="W21" i="6"/>
  <c r="Q38" i="10"/>
  <c r="R16" i="31"/>
  <c r="E45" i="8"/>
  <c r="AB32" i="7"/>
  <c r="AH16" i="25"/>
  <c r="X52" i="8"/>
  <c r="Q37" i="10"/>
  <c r="R15" i="31"/>
  <c r="L38" i="10"/>
  <c r="M16" i="31"/>
  <c r="N16" i="8"/>
  <c r="U48" i="6"/>
  <c r="Q11" i="8"/>
  <c r="AG14" i="6"/>
  <c r="AB14" i="6"/>
  <c r="L12" i="31"/>
  <c r="K34" i="10"/>
  <c r="J46" i="8"/>
  <c r="G32" i="6"/>
  <c r="G53" i="8"/>
  <c r="G53" i="10" s="1"/>
  <c r="AE24" i="8"/>
  <c r="I35" i="8"/>
  <c r="U17" i="31"/>
  <c r="T39" i="10"/>
  <c r="P40" i="8"/>
  <c r="AI16" i="21"/>
  <c r="AG42" i="7"/>
  <c r="L11" i="8"/>
  <c r="F21" i="6"/>
  <c r="AE18" i="23"/>
  <c r="E13" i="31"/>
  <c r="D35" i="10"/>
  <c r="AA40" i="8"/>
  <c r="AF24" i="8"/>
  <c r="AC53" i="8"/>
  <c r="AC53" i="10" s="1"/>
  <c r="T12" i="31"/>
  <c r="S34" i="10"/>
  <c r="R48" i="6"/>
  <c r="R14" i="6"/>
  <c r="U33" i="8"/>
  <c r="U32" i="3"/>
  <c r="Y49" i="8"/>
  <c r="Y48" i="3"/>
  <c r="N30" i="8"/>
  <c r="AD48" i="6"/>
  <c r="O12" i="8"/>
  <c r="M32" i="7"/>
  <c r="AG34" i="10"/>
  <c r="AH12" i="31"/>
  <c r="AH28" i="8"/>
  <c r="G42" i="3"/>
  <c r="Q42" i="3"/>
  <c r="W39" i="10"/>
  <c r="X17" i="31"/>
  <c r="Z14" i="6"/>
  <c r="F48" i="7"/>
  <c r="N33" i="8"/>
  <c r="N32" i="3"/>
  <c r="T38" i="10"/>
  <c r="U16" i="31"/>
  <c r="AG17" i="8"/>
  <c r="AE23" i="8"/>
  <c r="E32" i="6"/>
  <c r="T48" i="7"/>
  <c r="L13" i="31"/>
  <c r="K35" i="10"/>
  <c r="I48" i="7"/>
  <c r="AF45" i="8"/>
  <c r="S12" i="8"/>
  <c r="L15" i="8"/>
  <c r="L14" i="3"/>
  <c r="T30" i="8"/>
  <c r="W51" i="8"/>
  <c r="AF28" i="8"/>
  <c r="O50" i="8"/>
  <c r="Y16" i="31"/>
  <c r="X38" i="10"/>
  <c r="R48" i="7"/>
  <c r="T46" i="8"/>
  <c r="AB26" i="7"/>
  <c r="O26" i="6"/>
  <c r="C26" i="7"/>
  <c r="J35" i="10"/>
  <c r="K13" i="31"/>
  <c r="Y19" i="8"/>
  <c r="AE14" i="23"/>
  <c r="O14" i="23"/>
  <c r="N14" i="23"/>
  <c r="AH27" i="8"/>
  <c r="AH26" i="3"/>
  <c r="J13" i="27"/>
  <c r="I29" i="10"/>
  <c r="AC42" i="7"/>
  <c r="AI12" i="33"/>
  <c r="AD48" i="3"/>
  <c r="AD49" i="8"/>
  <c r="Z48" i="3"/>
  <c r="Z49" i="8"/>
  <c r="AB15" i="8"/>
  <c r="AB14" i="3"/>
  <c r="M14" i="27"/>
  <c r="C44" i="8"/>
  <c r="L44" i="10" s="1"/>
  <c r="H14" i="21"/>
  <c r="G12" i="10"/>
  <c r="AH32" i="7"/>
  <c r="AB48" i="7"/>
  <c r="C49" i="8"/>
  <c r="C48" i="3"/>
  <c r="V16" i="8"/>
  <c r="O14" i="31"/>
  <c r="N36" i="10"/>
  <c r="AI14" i="23"/>
  <c r="P27" i="8"/>
  <c r="P26" i="3"/>
  <c r="D9" i="3"/>
  <c r="D10" i="8"/>
  <c r="T18" i="31"/>
  <c r="R12" i="33"/>
  <c r="K51" i="8"/>
  <c r="P48" i="7"/>
  <c r="AF26" i="6"/>
  <c r="D46" i="8"/>
  <c r="AC46" i="8"/>
  <c r="AD26" i="6"/>
  <c r="Y12" i="33"/>
  <c r="J13" i="33"/>
  <c r="I45" i="10"/>
  <c r="V10" i="8"/>
  <c r="V9" i="3"/>
  <c r="AE14" i="6"/>
  <c r="AA48" i="7"/>
  <c r="AA14" i="31"/>
  <c r="Z36" i="10"/>
  <c r="F21" i="3"/>
  <c r="F22" i="8"/>
  <c r="L12" i="33"/>
  <c r="AD13" i="21"/>
  <c r="G14" i="33"/>
  <c r="S14" i="21"/>
  <c r="R12" i="10"/>
  <c r="E17" i="8"/>
  <c r="AA22" i="8"/>
  <c r="AA21" i="3"/>
  <c r="C26" i="3"/>
  <c r="C27" i="8"/>
  <c r="AG9" i="7"/>
  <c r="W52" i="8"/>
  <c r="N12" i="27"/>
  <c r="M28" i="10"/>
  <c r="F11" i="8"/>
  <c r="S26" i="7"/>
  <c r="J14" i="25"/>
  <c r="J17" i="31"/>
  <c r="I39" i="10"/>
  <c r="R54" i="8"/>
  <c r="Y42" i="3"/>
  <c r="AF52" i="8"/>
  <c r="O26" i="3"/>
  <c r="O27" i="8"/>
  <c r="AF51" i="8"/>
  <c r="T24" i="8"/>
  <c r="M22" i="8"/>
  <c r="M21" i="3"/>
  <c r="X18" i="31"/>
  <c r="AB13" i="27"/>
  <c r="AA29" i="10"/>
  <c r="S28" i="8"/>
  <c r="J22" i="8"/>
  <c r="J21" i="3"/>
  <c r="F12" i="33"/>
  <c r="AF12" i="27"/>
  <c r="Q21" i="6"/>
  <c r="AH17" i="31"/>
  <c r="AG39" i="10"/>
  <c r="O14" i="7"/>
  <c r="AC48" i="7"/>
  <c r="C33" i="8"/>
  <c r="C32" i="3"/>
  <c r="Z19" i="8"/>
  <c r="AE12" i="33"/>
  <c r="Y9" i="6"/>
  <c r="AE45" i="8"/>
  <c r="AB26" i="6"/>
  <c r="L28" i="8"/>
  <c r="AF21" i="7"/>
  <c r="H48" i="6"/>
  <c r="Y12" i="8"/>
  <c r="Q21" i="7"/>
  <c r="AH15" i="8"/>
  <c r="AH14" i="3"/>
  <c r="F30" i="8"/>
  <c r="U50" i="8"/>
  <c r="R32" i="7"/>
  <c r="AA48" i="6"/>
  <c r="C17" i="8"/>
  <c r="AF17" i="10" s="1"/>
  <c r="M23" i="8"/>
  <c r="V26" i="6"/>
  <c r="T40" i="8"/>
  <c r="I42" i="7"/>
  <c r="S21" i="7"/>
  <c r="D44" i="8"/>
  <c r="AB10" i="8"/>
  <c r="AB9" i="3"/>
  <c r="AE18" i="8"/>
  <c r="G17" i="8"/>
  <c r="AE17" i="8"/>
  <c r="J50" i="8"/>
  <c r="L14" i="31"/>
  <c r="K36" i="10"/>
  <c r="Y28" i="8"/>
  <c r="T50" i="8"/>
  <c r="I17" i="8"/>
  <c r="AH39" i="10"/>
  <c r="AI17" i="31"/>
  <c r="K26" i="6"/>
  <c r="AA53" i="8"/>
  <c r="AA53" i="10" s="1"/>
  <c r="Q32" i="6"/>
  <c r="AF33" i="8"/>
  <c r="AF32" i="3"/>
  <c r="L50" i="8"/>
  <c r="D15" i="31"/>
  <c r="AL37" i="10"/>
  <c r="C37" i="10"/>
  <c r="AJ37" i="10"/>
  <c r="AI37" i="10"/>
  <c r="AK37" i="10"/>
  <c r="L16" i="8"/>
  <c r="D48" i="6"/>
  <c r="AD22" i="8"/>
  <c r="AD21" i="3"/>
  <c r="AF26" i="7"/>
  <c r="F15" i="31"/>
  <c r="E37" i="10"/>
  <c r="L16" i="31"/>
  <c r="K38" i="10"/>
  <c r="I15" i="31"/>
  <c r="H37" i="10"/>
  <c r="Y51" i="8"/>
  <c r="Z16" i="8"/>
  <c r="AD19" i="8"/>
  <c r="Y21" i="7"/>
  <c r="C14" i="7"/>
  <c r="Z21" i="3"/>
  <c r="Z22" i="8"/>
  <c r="P42" i="3"/>
  <c r="J48" i="3"/>
  <c r="J49" i="8"/>
  <c r="G15" i="8"/>
  <c r="G14" i="3"/>
  <c r="Q28" i="8"/>
  <c r="AE21" i="6"/>
  <c r="U14" i="3"/>
  <c r="U15" i="8"/>
  <c r="E26" i="3"/>
  <c r="E27" i="8"/>
  <c r="AH18" i="23"/>
  <c r="S16" i="31"/>
  <c r="R38" i="10"/>
  <c r="AC43" i="8"/>
  <c r="AC42" i="6"/>
  <c r="T12" i="10"/>
  <c r="U14" i="21"/>
  <c r="H12" i="27"/>
  <c r="G28" i="10"/>
  <c r="Q12" i="33"/>
  <c r="AG16" i="31"/>
  <c r="AF38" i="10"/>
  <c r="V13" i="25"/>
  <c r="U23" i="10"/>
  <c r="AA18" i="31"/>
  <c r="F14" i="33"/>
  <c r="AE50" i="8"/>
  <c r="L32" i="7"/>
  <c r="L26" i="3"/>
  <c r="L27" i="8"/>
  <c r="AA16" i="25"/>
  <c r="J48" i="7"/>
  <c r="V40" i="8"/>
  <c r="R13" i="33"/>
  <c r="Q45" i="10"/>
  <c r="H13" i="21"/>
  <c r="AI13" i="25"/>
  <c r="AH23" i="10"/>
  <c r="AF29" i="8"/>
  <c r="T22" i="8"/>
  <c r="T21" i="3"/>
  <c r="Q15" i="8"/>
  <c r="Q14" i="3"/>
  <c r="Z16" i="31"/>
  <c r="Y38" i="10"/>
  <c r="AC14" i="27"/>
  <c r="AB30" i="10"/>
  <c r="AC14" i="3"/>
  <c r="AC15" i="8"/>
  <c r="X53" i="10"/>
  <c r="AB12" i="33"/>
  <c r="R34" i="10"/>
  <c r="S12" i="31"/>
  <c r="D11" i="8"/>
  <c r="I51" i="8"/>
  <c r="O36" i="10"/>
  <c r="P14" i="31"/>
  <c r="P35" i="10"/>
  <c r="Q13" i="31"/>
  <c r="AC9" i="3"/>
  <c r="AC10" i="8"/>
  <c r="N46" i="8"/>
  <c r="M24" i="8"/>
  <c r="V38" i="10"/>
  <c r="W16" i="31"/>
  <c r="H21" i="3"/>
  <c r="H22" i="8"/>
  <c r="AB13" i="33"/>
  <c r="AA45" i="10"/>
  <c r="Q50" i="8"/>
  <c r="AD18" i="23"/>
  <c r="I9" i="6"/>
  <c r="S37" i="10"/>
  <c r="T15" i="31"/>
  <c r="J15" i="31"/>
  <c r="I37" i="10"/>
  <c r="L42" i="3"/>
  <c r="N11" i="8"/>
  <c r="H26" i="7"/>
  <c r="K28" i="8"/>
  <c r="AF12" i="33"/>
  <c r="AA33" i="8"/>
  <c r="AA32" i="3"/>
  <c r="AC27" i="8"/>
  <c r="AC26" i="3"/>
  <c r="P54" i="8"/>
  <c r="R53" i="8"/>
  <c r="R53" i="10" s="1"/>
  <c r="X10" i="8"/>
  <c r="X9" i="3"/>
  <c r="AD28" i="8"/>
  <c r="R23" i="8"/>
  <c r="AH48" i="6"/>
  <c r="J32" i="6"/>
  <c r="K52" i="8"/>
  <c r="K18" i="8"/>
  <c r="Q46" i="8"/>
  <c r="AI15" i="31"/>
  <c r="AH37" i="10"/>
  <c r="X19" i="8"/>
  <c r="AG54" i="8"/>
  <c r="AA43" i="8"/>
  <c r="AA42" i="6"/>
  <c r="I42" i="3"/>
  <c r="W48" i="6"/>
  <c r="R32" i="6"/>
  <c r="S9" i="7"/>
  <c r="AH18" i="31"/>
  <c r="O48" i="7"/>
  <c r="F10" i="8"/>
  <c r="F9" i="3"/>
  <c r="Y30" i="8"/>
  <c r="K15" i="8"/>
  <c r="K14" i="3"/>
  <c r="H21" i="6"/>
  <c r="Z28" i="8"/>
  <c r="P46" i="8"/>
  <c r="Q43" i="8"/>
  <c r="Q42" i="6"/>
  <c r="AD27" i="8"/>
  <c r="AD26" i="3"/>
  <c r="H42" i="7"/>
  <c r="F12" i="8"/>
  <c r="AB16" i="25"/>
  <c r="AA36" i="10"/>
  <c r="AB14" i="31"/>
  <c r="AA17" i="8"/>
  <c r="J9" i="3"/>
  <c r="J10" i="8"/>
  <c r="AA42" i="3"/>
  <c r="K29" i="8"/>
  <c r="P9" i="6"/>
  <c r="AF21" i="6"/>
  <c r="AC32" i="3"/>
  <c r="AC33" i="8"/>
  <c r="U52" i="8"/>
  <c r="O44" i="8"/>
  <c r="N53" i="8"/>
  <c r="N53" i="10" s="1"/>
  <c r="Y16" i="8"/>
  <c r="U37" i="10"/>
  <c r="V15" i="31"/>
  <c r="W53" i="8"/>
  <c r="W53" i="10" s="1"/>
  <c r="AD12" i="31"/>
  <c r="AC34" i="10"/>
  <c r="AG18" i="23"/>
  <c r="AD42" i="6"/>
  <c r="AD43" i="8"/>
  <c r="AF48" i="6"/>
  <c r="O26" i="7"/>
  <c r="P42" i="6"/>
  <c r="P43" i="8"/>
  <c r="AG11" i="8"/>
  <c r="AH14" i="6"/>
  <c r="L18" i="8"/>
  <c r="M29" i="8"/>
  <c r="V12" i="8"/>
  <c r="E36" i="10"/>
  <c r="F14" i="31"/>
  <c r="H35" i="8"/>
  <c r="Q48" i="7"/>
  <c r="S42" i="3"/>
  <c r="G23" i="8"/>
  <c r="N19" i="8"/>
  <c r="Y13" i="27"/>
  <c r="X29" i="10"/>
  <c r="AF35" i="8"/>
  <c r="J38" i="10"/>
  <c r="K16" i="31"/>
  <c r="E14" i="6"/>
  <c r="AI13" i="31"/>
  <c r="AH35" i="10"/>
  <c r="I32" i="3"/>
  <c r="I33" i="8"/>
  <c r="N9" i="6"/>
  <c r="J26" i="7"/>
  <c r="AG14" i="3"/>
  <c r="AG15" i="8"/>
  <c r="X35" i="10"/>
  <c r="Y13" i="31"/>
  <c r="R13" i="25"/>
  <c r="Q23" i="10"/>
  <c r="G15" i="23"/>
  <c r="P13" i="31"/>
  <c r="O35" i="10"/>
  <c r="K13" i="25"/>
  <c r="J23" i="10"/>
  <c r="V12" i="27"/>
  <c r="U28" i="10"/>
  <c r="D43" i="8"/>
  <c r="D42" i="6"/>
  <c r="AG28" i="10"/>
  <c r="AH12" i="27"/>
  <c r="Q21" i="3"/>
  <c r="Q22" i="8"/>
  <c r="R26" i="3"/>
  <c r="R27" i="8"/>
  <c r="AH16" i="21"/>
  <c r="E39" i="10"/>
  <c r="F17" i="31"/>
  <c r="P14" i="7"/>
  <c r="Z13" i="33"/>
  <c r="Y45" i="10"/>
  <c r="AA50" i="8"/>
  <c r="Z26" i="3"/>
  <c r="Z27" i="8"/>
  <c r="J42" i="7"/>
  <c r="AF16" i="21"/>
  <c r="S48" i="6"/>
  <c r="H14" i="25"/>
  <c r="Q14" i="7"/>
  <c r="I36" i="10"/>
  <c r="J14" i="31"/>
  <c r="Y52" i="8"/>
  <c r="I13" i="23"/>
  <c r="AA15" i="31"/>
  <c r="Z37" i="10"/>
  <c r="E51" i="8"/>
  <c r="Q34" i="10"/>
  <c r="R12" i="31"/>
  <c r="AF53" i="10"/>
  <c r="N28" i="8"/>
  <c r="C24" i="8"/>
  <c r="S24" i="10" s="1"/>
  <c r="D53" i="10"/>
  <c r="D34" i="10"/>
  <c r="E12" i="31"/>
  <c r="P22" i="8"/>
  <c r="P21" i="3"/>
  <c r="T14" i="31"/>
  <c r="S36" i="10"/>
  <c r="AD14" i="6"/>
  <c r="O45" i="8"/>
  <c r="W15" i="31"/>
  <c r="V37" i="10"/>
  <c r="D14" i="6"/>
  <c r="G48" i="7"/>
  <c r="M32" i="3"/>
  <c r="M33" i="8"/>
  <c r="AD35" i="8"/>
  <c r="N9" i="3"/>
  <c r="N10" i="8"/>
  <c r="G21" i="7"/>
  <c r="AB37" i="10"/>
  <c r="AC15" i="31"/>
  <c r="P34" i="10"/>
  <c r="Q12" i="31"/>
  <c r="O28" i="8"/>
  <c r="AE32" i="3"/>
  <c r="AE33" i="8"/>
  <c r="AH48" i="7"/>
  <c r="AA28" i="8"/>
  <c r="N16" i="31"/>
  <c r="M38" i="10"/>
  <c r="M30" i="8"/>
  <c r="AA14" i="21"/>
  <c r="Z12" i="10"/>
  <c r="O52" i="8"/>
  <c r="I9" i="3"/>
  <c r="I10" i="8"/>
  <c r="N42" i="6"/>
  <c r="N43" i="8"/>
  <c r="M11" i="8"/>
  <c r="S13" i="33"/>
  <c r="R45" i="10"/>
  <c r="S16" i="8"/>
  <c r="C43" i="8"/>
  <c r="C42" i="6"/>
  <c r="Z14" i="3"/>
  <c r="Z15" i="8"/>
  <c r="E21" i="6"/>
  <c r="AC22" i="8"/>
  <c r="AC21" i="3"/>
  <c r="AK34" i="10"/>
  <c r="D12" i="31"/>
  <c r="AI34" i="10"/>
  <c r="C34" i="10"/>
  <c r="AJ34" i="10"/>
  <c r="AL34" i="10"/>
  <c r="Y48" i="6"/>
  <c r="AB26" i="3"/>
  <c r="AB27" i="8"/>
  <c r="H10" i="8"/>
  <c r="H9" i="3"/>
  <c r="D42" i="7"/>
  <c r="AD23" i="8"/>
  <c r="V42" i="7"/>
  <c r="G9" i="6"/>
  <c r="D21" i="6"/>
  <c r="Z12" i="33"/>
  <c r="AE14" i="33"/>
  <c r="G14" i="6"/>
  <c r="S42" i="7"/>
  <c r="P42" i="7"/>
  <c r="Y32" i="6"/>
  <c r="U14" i="31"/>
  <c r="T36" i="10"/>
  <c r="I13" i="33"/>
  <c r="H45" i="10"/>
  <c r="S26" i="6"/>
  <c r="N35" i="10"/>
  <c r="O13" i="31"/>
  <c r="Z42" i="7"/>
  <c r="L45" i="8"/>
  <c r="Z52" i="8"/>
  <c r="W11" i="8"/>
  <c r="M46" i="8"/>
  <c r="T53" i="8"/>
  <c r="T53" i="10" s="1"/>
  <c r="Z53" i="8"/>
  <c r="Z53" i="10" s="1"/>
  <c r="G26" i="6"/>
  <c r="G50" i="8"/>
  <c r="AA34" i="10"/>
  <c r="AB12" i="31"/>
  <c r="AA16" i="21"/>
  <c r="V30" i="8"/>
  <c r="S33" i="8"/>
  <c r="S32" i="3"/>
  <c r="AB42" i="7"/>
  <c r="AC13" i="27"/>
  <c r="AB29" i="10"/>
  <c r="V54" i="8"/>
  <c r="E48" i="6"/>
  <c r="O21" i="7"/>
  <c r="O17" i="8"/>
  <c r="Q10" i="8"/>
  <c r="Q9" i="3"/>
  <c r="T52" i="8"/>
  <c r="D51" i="8"/>
  <c r="M40" i="8"/>
  <c r="T29" i="8"/>
  <c r="N21" i="7"/>
  <c r="AF32" i="6"/>
  <c r="U44" i="8"/>
  <c r="Z17" i="8"/>
  <c r="AH9" i="3"/>
  <c r="AH10" i="8"/>
  <c r="L18" i="31"/>
  <c r="M26" i="7"/>
  <c r="X26" i="6"/>
  <c r="AG46" i="8"/>
  <c r="I52" i="8"/>
  <c r="AG14" i="7"/>
  <c r="W14" i="3"/>
  <c r="W15" i="8"/>
  <c r="AH52" i="8"/>
  <c r="AH18" i="8"/>
  <c r="Z43" i="8"/>
  <c r="Z42" i="6"/>
  <c r="AK53" i="10"/>
  <c r="AJ53" i="10"/>
  <c r="AL53" i="10"/>
  <c r="AI53" i="10"/>
  <c r="C53" i="10"/>
  <c r="AG12" i="31"/>
  <c r="AF34" i="10"/>
  <c r="Y35" i="10"/>
  <c r="Z13" i="31"/>
  <c r="Z13" i="21"/>
  <c r="AF16" i="25"/>
  <c r="K26" i="3"/>
  <c r="K27" i="8"/>
  <c r="Q15" i="23"/>
  <c r="I17" i="31"/>
  <c r="H39" i="10"/>
  <c r="X39" i="10"/>
  <c r="Y17" i="31"/>
  <c r="W13" i="33"/>
  <c r="V45" i="10"/>
  <c r="Y13" i="23"/>
  <c r="M14" i="3"/>
  <c r="M15" i="8"/>
  <c r="AB53" i="8"/>
  <c r="AB53" i="10" s="1"/>
  <c r="AD14" i="31"/>
  <c r="AC36" i="10"/>
  <c r="G14" i="23"/>
  <c r="Y43" i="8"/>
  <c r="Y42" i="6"/>
  <c r="O43" i="8"/>
  <c r="O42" i="6"/>
  <c r="F53" i="8"/>
  <c r="F53" i="10" s="1"/>
  <c r="AH19" i="8"/>
  <c r="AG48" i="3"/>
  <c r="AG49" i="8"/>
  <c r="E15" i="31"/>
  <c r="D37" i="10"/>
  <c r="H53" i="10"/>
  <c r="T49" i="8"/>
  <c r="T48" i="3"/>
  <c r="S15" i="23"/>
  <c r="T37" i="10"/>
  <c r="U15" i="31"/>
  <c r="AC38" i="10"/>
  <c r="AD16" i="31"/>
  <c r="AL39" i="10"/>
  <c r="C39" i="10"/>
  <c r="AI39" i="10"/>
  <c r="AJ39" i="10"/>
  <c r="D17" i="31"/>
  <c r="AK39" i="10"/>
  <c r="AB48" i="6"/>
  <c r="T28" i="8"/>
  <c r="M49" i="8"/>
  <c r="M48" i="3"/>
  <c r="I32" i="7"/>
  <c r="AF15" i="31"/>
  <c r="AE37" i="10"/>
  <c r="O13" i="33"/>
  <c r="N45" i="10"/>
  <c r="AA15" i="8"/>
  <c r="AA14" i="3"/>
  <c r="H43" i="8"/>
  <c r="H42" i="6"/>
  <c r="E42" i="7"/>
  <c r="AD14" i="7"/>
  <c r="AH14" i="21"/>
  <c r="AG12" i="10"/>
  <c r="F33" i="8"/>
  <c r="F32" i="3"/>
  <c r="H23" i="10"/>
  <c r="I13" i="25"/>
  <c r="AE38" i="10"/>
  <c r="AF16" i="31"/>
  <c r="U12" i="33"/>
  <c r="X37" i="10"/>
  <c r="Y15" i="31"/>
  <c r="V32" i="7"/>
  <c r="E17" i="31"/>
  <c r="D39" i="10"/>
  <c r="N17" i="31"/>
  <c r="M39" i="10"/>
  <c r="U22" i="8"/>
  <c r="U21" i="3"/>
  <c r="O53" i="8"/>
  <c r="O53" i="10" s="1"/>
  <c r="V11" i="8"/>
  <c r="E19" i="8"/>
  <c r="Y14" i="21"/>
  <c r="X12" i="10"/>
  <c r="AF32" i="7"/>
  <c r="Z9" i="7"/>
  <c r="K43" i="8"/>
  <c r="K42" i="6"/>
  <c r="D42" i="3"/>
  <c r="J32" i="7"/>
  <c r="M18" i="8"/>
  <c r="AC48" i="6"/>
  <c r="AE52" i="8"/>
  <c r="T9" i="6"/>
  <c r="S14" i="31"/>
  <c r="R36" i="10"/>
  <c r="N13" i="23"/>
  <c r="D23" i="8"/>
  <c r="AB34" i="10"/>
  <c r="AC12" i="31"/>
  <c r="AG10" i="8"/>
  <c r="AG9" i="3"/>
  <c r="AH29" i="8"/>
  <c r="F26" i="6"/>
  <c r="AC14" i="23"/>
  <c r="AF10" i="8"/>
  <c r="AF9" i="3"/>
  <c r="L53" i="8"/>
  <c r="L53" i="10" s="1"/>
  <c r="U42" i="7"/>
  <c r="H32" i="7"/>
  <c r="I12" i="31"/>
  <c r="H34" i="10"/>
  <c r="I28" i="8"/>
  <c r="Q48" i="3"/>
  <c r="Q49" i="8"/>
  <c r="E16" i="8"/>
  <c r="AC28" i="8"/>
  <c r="N15" i="31"/>
  <c r="M37" i="10"/>
  <c r="AG53" i="8"/>
  <c r="AG53" i="10" s="1"/>
  <c r="X24" i="8"/>
  <c r="Q30" i="8"/>
  <c r="X14" i="31"/>
  <c r="W36" i="10"/>
  <c r="G22" i="8"/>
  <c r="G21" i="3"/>
  <c r="G48" i="6"/>
  <c r="H29" i="8"/>
  <c r="H54" i="8"/>
  <c r="R42" i="7"/>
  <c r="H12" i="31"/>
  <c r="G34" i="10"/>
  <c r="S43" i="8"/>
  <c r="S42" i="6"/>
  <c r="AC12" i="33"/>
  <c r="N42" i="3"/>
  <c r="W44" i="8"/>
  <c r="AA46" i="8"/>
  <c r="D49" i="8"/>
  <c r="D48" i="3"/>
  <c r="O22" i="8"/>
  <c r="O21" i="3"/>
  <c r="AE11" i="8"/>
  <c r="E10" i="8"/>
  <c r="E9" i="3"/>
  <c r="AH42" i="7"/>
  <c r="G48" i="3"/>
  <c r="G49" i="8"/>
  <c r="Z32" i="6"/>
  <c r="O16" i="8"/>
  <c r="W49" i="8"/>
  <c r="W48" i="3"/>
  <c r="V32" i="6"/>
  <c r="O23" i="8"/>
  <c r="AF42" i="6"/>
  <c r="AF43" i="8"/>
  <c r="AB52" i="8"/>
  <c r="AA21" i="7"/>
  <c r="L46" i="8"/>
  <c r="AE54" i="10"/>
  <c r="T14" i="3"/>
  <c r="T15" i="8"/>
  <c r="S48" i="7"/>
  <c r="K30" i="8"/>
  <c r="C21" i="6"/>
  <c r="V44" i="8"/>
  <c r="AF12" i="8"/>
  <c r="L24" i="8"/>
  <c r="AB15" i="31"/>
  <c r="AA37" i="10"/>
  <c r="S32" i="7"/>
  <c r="O9" i="3"/>
  <c r="O10" i="8"/>
  <c r="U36" i="10"/>
  <c r="V14" i="31"/>
  <c r="V42" i="3"/>
  <c r="AC35" i="8"/>
  <c r="L13" i="21"/>
  <c r="T33" i="8"/>
  <c r="T32" i="3"/>
  <c r="T14" i="23"/>
  <c r="O34" i="10"/>
  <c r="P12" i="31"/>
  <c r="Q27" i="8"/>
  <c r="Q26" i="3"/>
  <c r="Y13" i="33"/>
  <c r="O12" i="31"/>
  <c r="N34" i="10"/>
  <c r="V26" i="3"/>
  <c r="V27" i="8"/>
  <c r="AC18" i="31"/>
  <c r="AH12" i="33"/>
  <c r="E18" i="31"/>
  <c r="AG14" i="23"/>
  <c r="AD15" i="31"/>
  <c r="AC37" i="10"/>
  <c r="AC13" i="31"/>
  <c r="AB35" i="10"/>
  <c r="K26" i="7"/>
  <c r="T9" i="3"/>
  <c r="T10" i="8"/>
  <c r="R33" i="8"/>
  <c r="R32" i="3"/>
  <c r="J37" i="10"/>
  <c r="K15" i="31"/>
  <c r="AD13" i="33"/>
  <c r="AC45" i="10"/>
  <c r="D33" i="8"/>
  <c r="D32" i="3"/>
  <c r="Z38" i="10"/>
  <c r="AA16" i="31"/>
  <c r="U13" i="33"/>
  <c r="T45" i="10"/>
  <c r="AA32" i="7"/>
  <c r="U24" i="8"/>
  <c r="K14" i="7"/>
  <c r="AI18" i="31"/>
  <c r="F12" i="31"/>
  <c r="E34" i="10"/>
  <c r="L52" i="8"/>
  <c r="P26" i="7"/>
  <c r="U45" i="8"/>
  <c r="L42" i="7"/>
  <c r="E29" i="8"/>
  <c r="P17" i="31"/>
  <c r="O39" i="10"/>
  <c r="Q13" i="27"/>
  <c r="P29" i="10"/>
  <c r="V48" i="7"/>
  <c r="AH53" i="8"/>
  <c r="AH53" i="10" s="1"/>
  <c r="T13" i="25"/>
  <c r="S23" i="10"/>
  <c r="R18" i="31"/>
  <c r="Q14" i="31"/>
  <c r="P36" i="10"/>
  <c r="S9" i="6"/>
  <c r="AH34" i="10"/>
  <c r="AI12" i="31"/>
  <c r="L21" i="3"/>
  <c r="L22" i="8"/>
  <c r="AB16" i="21"/>
  <c r="AH49" i="8"/>
  <c r="AH48" i="3"/>
  <c r="Y53" i="8"/>
  <c r="Y53" i="10" s="1"/>
  <c r="V18" i="31"/>
  <c r="W16" i="8"/>
  <c r="AB50" i="8"/>
  <c r="N14" i="6"/>
  <c r="AC14" i="33"/>
  <c r="AH14" i="7"/>
  <c r="W38" i="10"/>
  <c r="X16" i="31"/>
  <c r="J14" i="27"/>
  <c r="I30" i="10"/>
  <c r="Z21" i="7"/>
  <c r="N38" i="10"/>
  <c r="O16" i="31"/>
  <c r="K24" i="8"/>
  <c r="R16" i="8"/>
  <c r="F15" i="23"/>
  <c r="M43" i="8"/>
  <c r="M42" i="6"/>
  <c r="P18" i="31"/>
  <c r="X40" i="8"/>
  <c r="AF18" i="8"/>
  <c r="T21" i="7"/>
  <c r="AC16" i="25"/>
  <c r="AC21" i="7"/>
  <c r="O42" i="7"/>
  <c r="F32" i="7"/>
  <c r="U54" i="8"/>
  <c r="U54" i="10" s="1"/>
  <c r="O15" i="8"/>
  <c r="O14" i="3"/>
  <c r="AF17" i="31"/>
  <c r="AE39" i="10"/>
  <c r="U17" i="8"/>
  <c r="AA18" i="8"/>
  <c r="AC12" i="8"/>
  <c r="Z50" i="8"/>
  <c r="M42" i="7"/>
  <c r="X14" i="7"/>
  <c r="Y33" i="8"/>
  <c r="Y32" i="3"/>
  <c r="M19" i="8"/>
  <c r="AD30" i="8"/>
  <c r="R51" i="8"/>
  <c r="D27" i="8"/>
  <c r="D26" i="3"/>
  <c r="O9" i="6"/>
  <c r="AC14" i="31"/>
  <c r="AB36" i="10"/>
  <c r="X21" i="6"/>
  <c r="U32" i="7"/>
  <c r="T26" i="7"/>
  <c r="AC16" i="21"/>
  <c r="S14" i="3"/>
  <c r="S15" i="8"/>
  <c r="X17" i="8"/>
  <c r="L29" i="8"/>
  <c r="AF21" i="3"/>
  <c r="AF22" i="8"/>
  <c r="M17" i="31"/>
  <c r="L39" i="10"/>
  <c r="L36" i="10"/>
  <c r="M14" i="31"/>
  <c r="N14" i="31"/>
  <c r="M36" i="10"/>
  <c r="U14" i="6"/>
  <c r="AE28" i="10"/>
  <c r="D12" i="27"/>
  <c r="C28" i="10"/>
  <c r="AK28" i="10"/>
  <c r="AJ28" i="10"/>
  <c r="AL28" i="10"/>
  <c r="AI28" i="10"/>
  <c r="N13" i="33"/>
  <c r="M45" i="10"/>
  <c r="H13" i="23"/>
  <c r="F14" i="21"/>
  <c r="E12" i="10"/>
  <c r="S14" i="25"/>
  <c r="AA12" i="31"/>
  <c r="Z34" i="10"/>
  <c r="O32" i="3"/>
  <c r="O33" i="8"/>
  <c r="O14" i="25"/>
  <c r="V13" i="31"/>
  <c r="U35" i="10"/>
  <c r="AF19" i="8"/>
  <c r="AD17" i="31"/>
  <c r="AC39" i="10"/>
  <c r="X28" i="10"/>
  <c r="Y12" i="27"/>
  <c r="T16" i="31"/>
  <c r="S38" i="10"/>
  <c r="F23" i="10"/>
  <c r="G13" i="25"/>
  <c r="AF14" i="31"/>
  <c r="AE36" i="10"/>
  <c r="X13" i="33"/>
  <c r="W45" i="10"/>
  <c r="F13" i="21"/>
  <c r="E16" i="31"/>
  <c r="D38" i="10"/>
  <c r="S48" i="3"/>
  <c r="S49" i="8"/>
  <c r="AG35" i="8"/>
  <c r="X12" i="31"/>
  <c r="W34" i="10"/>
  <c r="AF14" i="33"/>
  <c r="AG17" i="31"/>
  <c r="AF39" i="10"/>
  <c r="F52" i="8"/>
  <c r="AD14" i="3"/>
  <c r="AD15" i="8"/>
  <c r="AF16" i="8"/>
  <c r="S15" i="31"/>
  <c r="R37" i="10"/>
  <c r="Q29" i="8"/>
  <c r="N26" i="3"/>
  <c r="N27" i="8"/>
  <c r="AD12" i="8"/>
  <c r="P14" i="33"/>
  <c r="U21" i="6"/>
  <c r="U49" i="8"/>
  <c r="U48" i="3"/>
  <c r="Z11" i="8"/>
  <c r="S29" i="8"/>
  <c r="T12" i="33"/>
  <c r="C42" i="7"/>
  <c r="H14" i="31"/>
  <c r="G36" i="10"/>
  <c r="J12" i="8"/>
  <c r="M50" i="8"/>
  <c r="Y42" i="7"/>
  <c r="E48" i="3"/>
  <c r="E49" i="8"/>
  <c r="S10" i="8"/>
  <c r="S9" i="3"/>
  <c r="AD53" i="8"/>
  <c r="AD53" i="10" s="1"/>
  <c r="E9" i="6"/>
  <c r="AG24" i="8"/>
  <c r="AF44" i="8"/>
  <c r="AE49" i="8"/>
  <c r="AE48" i="3"/>
  <c r="D52" i="8"/>
  <c r="W30" i="8"/>
  <c r="T26" i="6"/>
  <c r="Z42" i="3"/>
  <c r="AE16" i="8"/>
  <c r="AC14" i="6"/>
  <c r="I38" i="10"/>
  <c r="J16" i="31"/>
  <c r="D45" i="8"/>
  <c r="AB9" i="7"/>
  <c r="X30" i="10"/>
  <c r="Y14" i="27"/>
  <c r="U29" i="8"/>
  <c r="M48" i="7"/>
  <c r="T27" i="8"/>
  <c r="T26" i="3"/>
  <c r="R21" i="6"/>
  <c r="D16" i="31"/>
  <c r="AL38" i="10"/>
  <c r="C38" i="10"/>
  <c r="AJ38" i="10"/>
  <c r="AK38" i="10"/>
  <c r="AI38" i="10"/>
  <c r="X32" i="7"/>
  <c r="F27" i="8"/>
  <c r="F26" i="3"/>
  <c r="L48" i="6"/>
  <c r="AG36" i="10"/>
  <c r="AH14" i="31"/>
  <c r="U12" i="8"/>
  <c r="M35" i="8"/>
  <c r="AC26" i="6"/>
  <c r="X22" i="8"/>
  <c r="X21" i="3"/>
  <c r="Z35" i="8"/>
  <c r="P16" i="31"/>
  <c r="O38" i="10"/>
  <c r="AB51" i="8"/>
  <c r="I43" i="8"/>
  <c r="I42" i="6"/>
  <c r="AE27" i="8"/>
  <c r="AE26" i="3"/>
  <c r="L9" i="7"/>
  <c r="AB32" i="6"/>
  <c r="K9" i="7"/>
  <c r="AF42" i="3"/>
  <c r="AE21" i="3"/>
  <c r="AE22" i="8"/>
  <c r="R49" i="8"/>
  <c r="R48" i="3"/>
  <c r="W43" i="8"/>
  <c r="W42" i="6"/>
  <c r="H38" i="10"/>
  <c r="I16" i="31"/>
  <c r="X11" i="8"/>
  <c r="F32" i="6"/>
  <c r="AC26" i="7"/>
  <c r="M27" i="8"/>
  <c r="M26" i="3"/>
  <c r="F51" i="8"/>
  <c r="E38" i="10"/>
  <c r="F16" i="31"/>
  <c r="N48" i="6"/>
  <c r="AH11" i="8"/>
  <c r="X18" i="8"/>
  <c r="AG30" i="8"/>
  <c r="U12" i="31"/>
  <c r="T34" i="10"/>
  <c r="Q24" i="8"/>
  <c r="G18" i="8"/>
  <c r="Y50" i="8"/>
  <c r="W32" i="7"/>
  <c r="C42" i="3"/>
  <c r="C11" i="8"/>
  <c r="K11" i="10" s="1"/>
  <c r="W42" i="7"/>
  <c r="R30" i="8"/>
  <c r="X48" i="6"/>
  <c r="J21" i="7"/>
  <c r="F38" i="10"/>
  <c r="G16" i="31"/>
  <c r="Y9" i="7"/>
  <c r="AB21" i="7"/>
  <c r="T14" i="7"/>
  <c r="S26" i="3"/>
  <c r="S27" i="8"/>
  <c r="AD32" i="3"/>
  <c r="AD33" i="8"/>
  <c r="G21" i="6"/>
  <c r="AH16" i="31"/>
  <c r="AG38" i="10"/>
  <c r="S17" i="31"/>
  <c r="R39" i="10"/>
  <c r="N49" i="8"/>
  <c r="N48" i="3"/>
  <c r="R42" i="3"/>
  <c r="Y29" i="8"/>
  <c r="AD40" i="8"/>
  <c r="D24" i="8"/>
  <c r="P45" i="8"/>
  <c r="P33" i="8"/>
  <c r="P32" i="3"/>
  <c r="C32" i="6"/>
  <c r="Z12" i="31"/>
  <c r="Y34" i="10"/>
  <c r="K33" i="8"/>
  <c r="K32" i="3"/>
  <c r="AE30" i="8"/>
  <c r="AH21" i="3"/>
  <c r="AH22" i="8"/>
  <c r="E21" i="3"/>
  <c r="E22" i="8"/>
  <c r="F16" i="8"/>
  <c r="V23" i="10"/>
  <c r="W13" i="25"/>
  <c r="T15" i="23"/>
  <c r="I14" i="21"/>
  <c r="H12" i="10"/>
  <c r="Z15" i="31"/>
  <c r="Y37" i="10"/>
  <c r="S53" i="10"/>
  <c r="AE16" i="31"/>
  <c r="AD38" i="10"/>
  <c r="S13" i="21"/>
  <c r="P53" i="8"/>
  <c r="P53" i="10" s="1"/>
  <c r="J29" i="8"/>
  <c r="P14" i="3"/>
  <c r="P15" i="8"/>
  <c r="J33" i="8"/>
  <c r="J32" i="3"/>
  <c r="S13" i="31"/>
  <c r="R35" i="10"/>
  <c r="K54" i="8"/>
  <c r="V12" i="31"/>
  <c r="U34" i="10"/>
  <c r="AB16" i="8"/>
  <c r="Q14" i="6"/>
  <c r="E33" i="8"/>
  <c r="E32" i="3"/>
  <c r="J15" i="23"/>
  <c r="H32" i="6"/>
  <c r="AF26" i="3"/>
  <c r="AF27" i="8"/>
  <c r="AB13" i="23"/>
  <c r="F35" i="8"/>
  <c r="F42" i="7"/>
  <c r="N21" i="3"/>
  <c r="N22" i="8"/>
  <c r="W42" i="3"/>
  <c r="I12" i="8"/>
  <c r="AB17" i="31"/>
  <c r="AA39" i="10"/>
  <c r="T21" i="6"/>
  <c r="AG18" i="8"/>
  <c r="T14" i="6"/>
  <c r="U30" i="8"/>
  <c r="U42" i="6"/>
  <c r="U43" i="8"/>
  <c r="I44" i="8"/>
  <c r="Y27" i="8"/>
  <c r="Y26" i="3"/>
  <c r="X49" i="8"/>
  <c r="X48" i="3"/>
  <c r="J51" i="8"/>
  <c r="P48" i="3"/>
  <c r="P49" i="8"/>
  <c r="AC18" i="8"/>
  <c r="AB16" i="31"/>
  <c r="AA38" i="10"/>
  <c r="Z14" i="33"/>
  <c r="L23" i="8"/>
  <c r="AB18" i="23"/>
  <c r="AE9" i="6"/>
  <c r="I14" i="31"/>
  <c r="H36" i="10"/>
  <c r="G15" i="31"/>
  <c r="F37" i="10"/>
  <c r="P17" i="8"/>
  <c r="C15" i="8"/>
  <c r="C14" i="3"/>
  <c r="AD16" i="25"/>
  <c r="X46" i="8"/>
  <c r="P12" i="8"/>
  <c r="AE48" i="7"/>
  <c r="N32" i="7"/>
  <c r="G54" i="8"/>
  <c r="AC50" i="8"/>
  <c r="AA35" i="8"/>
  <c r="O32" i="6"/>
  <c r="E26" i="7"/>
  <c r="G12" i="33"/>
  <c r="Z51" i="8"/>
  <c r="AB43" i="8"/>
  <c r="AB42" i="6"/>
  <c r="M21" i="6"/>
  <c r="AE16" i="25"/>
  <c r="Y26" i="7"/>
  <c r="L26" i="7"/>
  <c r="AA14" i="27"/>
  <c r="Z30" i="10"/>
  <c r="T17" i="8"/>
  <c r="AE53" i="8"/>
  <c r="AE53" i="10" s="1"/>
  <c r="X50" i="8"/>
  <c r="K21" i="6"/>
  <c r="X32" i="6"/>
  <c r="G46" i="8"/>
  <c r="W46" i="8"/>
  <c r="D30" i="8"/>
  <c r="AI16" i="25"/>
  <c r="AC9" i="6"/>
  <c r="C48" i="7"/>
  <c r="I11" i="8"/>
  <c r="N40" i="8"/>
  <c r="G10" i="8"/>
  <c r="G9" i="3"/>
  <c r="AH42" i="6"/>
  <c r="AH43" i="8"/>
  <c r="R42" i="6"/>
  <c r="R43" i="8"/>
  <c r="M32" i="6"/>
  <c r="J34" i="10"/>
  <c r="K12" i="31"/>
  <c r="AF23" i="8"/>
  <c r="G52" i="8"/>
  <c r="U26" i="6"/>
  <c r="G17" i="31"/>
  <c r="F39" i="10"/>
  <c r="K16" i="8"/>
  <c r="N52" i="8"/>
  <c r="AA12" i="8"/>
  <c r="Q32" i="3"/>
  <c r="Q33" i="8"/>
  <c r="Q48" i="6"/>
  <c r="AD51" i="8"/>
  <c r="M26" i="6"/>
  <c r="AA51" i="8"/>
  <c r="Q42" i="7"/>
  <c r="Z48" i="7"/>
  <c r="N48" i="7"/>
  <c r="I46" i="8"/>
  <c r="AB45" i="8"/>
  <c r="AF30" i="8"/>
  <c r="Y32" i="7"/>
  <c r="E13" i="23"/>
  <c r="Y14" i="31"/>
  <c r="X36" i="10"/>
  <c r="L15" i="31"/>
  <c r="K37" i="10"/>
  <c r="AA18" i="23"/>
  <c r="D54" i="10"/>
  <c r="AB13" i="25"/>
  <c r="AA23" i="10"/>
  <c r="AG15" i="31"/>
  <c r="AF37" i="10"/>
  <c r="Y36" i="10"/>
  <c r="Z14" i="31"/>
  <c r="W28" i="10"/>
  <c r="X12" i="27"/>
  <c r="G39" i="10"/>
  <c r="H17" i="31"/>
  <c r="V50" i="8"/>
  <c r="AC13" i="25"/>
  <c r="AB23" i="10"/>
  <c r="H19" i="8"/>
  <c r="AL29" i="10"/>
  <c r="C29" i="10"/>
  <c r="D13" i="27"/>
  <c r="AJ29" i="10"/>
  <c r="AI29" i="10"/>
  <c r="AK29" i="10"/>
  <c r="Y15" i="8"/>
  <c r="Y14" i="3"/>
  <c r="I53" i="10"/>
  <c r="F14" i="7"/>
  <c r="AA13" i="33"/>
  <c r="Z45" i="10"/>
  <c r="P14" i="6"/>
  <c r="AE13" i="33"/>
  <c r="AD45" i="10"/>
  <c r="E14" i="3"/>
  <c r="E15" i="8"/>
  <c r="AA10" i="8"/>
  <c r="AA9" i="3"/>
  <c r="AG26" i="3"/>
  <c r="AG27" i="8"/>
  <c r="I22" i="8"/>
  <c r="I21" i="3"/>
  <c r="L30" i="10"/>
  <c r="AK30" i="10"/>
  <c r="AJ30" i="10"/>
  <c r="C30" i="10"/>
  <c r="AL30" i="10"/>
  <c r="AI30" i="10"/>
  <c r="D14" i="27"/>
  <c r="AA54" i="8"/>
  <c r="F45" i="8"/>
  <c r="I14" i="23"/>
  <c r="AD29" i="8"/>
  <c r="R21" i="7"/>
  <c r="Y23" i="10"/>
  <c r="Z13" i="25"/>
  <c r="C16" i="8"/>
  <c r="AA16" i="10" s="1"/>
  <c r="O17" i="31"/>
  <c r="N39" i="10"/>
  <c r="K48" i="3"/>
  <c r="K49" i="8"/>
  <c r="AK36" i="10"/>
  <c r="D14" i="31"/>
  <c r="C36" i="10"/>
  <c r="AJ36" i="10"/>
  <c r="AI36" i="10"/>
  <c r="AL36" i="10"/>
  <c r="M53" i="10"/>
  <c r="D32" i="7"/>
  <c r="H51" i="8"/>
  <c r="E28" i="8"/>
  <c r="J36" i="10"/>
  <c r="K14" i="31"/>
  <c r="G30" i="8"/>
  <c r="U11" i="8"/>
  <c r="AC21" i="6"/>
  <c r="AE14" i="7"/>
  <c r="T48" i="6"/>
  <c r="AE48" i="6"/>
  <c r="X42" i="6"/>
  <c r="X43" i="8"/>
  <c r="N26" i="6"/>
  <c r="W35" i="8"/>
  <c r="AA32" i="6"/>
  <c r="T11" i="8"/>
  <c r="N42" i="7"/>
  <c r="L9" i="3"/>
  <c r="L10" i="8"/>
  <c r="L51" i="8"/>
  <c r="L51" i="10" s="1"/>
  <c r="H44" i="8"/>
  <c r="T18" i="8"/>
  <c r="H52" i="8"/>
  <c r="M18" i="31"/>
  <c r="V28" i="8"/>
  <c r="D22" i="8"/>
  <c r="D21" i="3"/>
  <c r="AF9" i="7"/>
  <c r="Z17" i="31"/>
  <c r="Y39" i="10"/>
  <c r="O37" i="10"/>
  <c r="P15" i="31"/>
  <c r="Q26" i="7"/>
  <c r="I48" i="6"/>
  <c r="L21" i="6"/>
  <c r="U13" i="31"/>
  <c r="T35" i="10"/>
  <c r="AE32" i="7"/>
  <c r="J43" i="8"/>
  <c r="J42" i="6"/>
  <c r="E53" i="8"/>
  <c r="E53" i="10" s="1"/>
  <c r="AG45" i="8"/>
  <c r="AF42" i="7"/>
  <c r="AG16" i="8"/>
  <c r="U18" i="8"/>
  <c r="C9" i="3"/>
  <c r="C10" i="8"/>
  <c r="V21" i="3"/>
  <c r="V22" i="8"/>
  <c r="I23" i="8"/>
  <c r="G51" i="8"/>
  <c r="AH13" i="27"/>
  <c r="AG29" i="10"/>
  <c r="J54" i="8"/>
  <c r="J24" i="8"/>
  <c r="AE16" i="21"/>
  <c r="J30" i="8"/>
  <c r="D12" i="8"/>
  <c r="N29" i="8"/>
  <c r="J17" i="8"/>
  <c r="AA27" i="8"/>
  <c r="AA26" i="3"/>
  <c r="AC16" i="8"/>
  <c r="F14" i="6"/>
  <c r="I50" i="8"/>
  <c r="H40" i="8"/>
  <c r="G29" i="8"/>
  <c r="AG32" i="7"/>
  <c r="F24" i="8"/>
  <c r="E23" i="8"/>
  <c r="AA42" i="7"/>
  <c r="AE26" i="6"/>
  <c r="Y9" i="3"/>
  <c r="Y10" i="8"/>
  <c r="Q16" i="31"/>
  <c r="P38" i="10"/>
  <c r="AH36" i="10"/>
  <c r="AI14" i="31"/>
  <c r="O11" i="8"/>
  <c r="P24" i="8"/>
  <c r="N26" i="7"/>
  <c r="W54" i="8"/>
  <c r="AB48" i="3"/>
  <c r="AB49" i="8"/>
  <c r="O18" i="8"/>
  <c r="X51" i="8"/>
  <c r="L9" i="6"/>
  <c r="J53" i="8"/>
  <c r="J53" i="10" s="1"/>
  <c r="AH38" i="10"/>
  <c r="AI16" i="31"/>
  <c r="Y48" i="7"/>
  <c r="P30" i="8"/>
  <c r="Z18" i="8"/>
  <c r="AA52" i="8"/>
  <c r="J18" i="8"/>
  <c r="U27" i="8"/>
  <c r="U26" i="3"/>
  <c r="J28" i="8"/>
  <c r="L12" i="8"/>
  <c r="AC42" i="3"/>
  <c r="AF18" i="23"/>
  <c r="Q18" i="8"/>
  <c r="V17" i="8"/>
  <c r="D14" i="7"/>
  <c r="S50" i="8"/>
  <c r="O48" i="6"/>
  <c r="T43" i="8"/>
  <c r="T42" i="6"/>
  <c r="O24" i="8"/>
  <c r="S46" i="8"/>
  <c r="I26" i="3"/>
  <c r="I27" i="8"/>
  <c r="S12" i="33"/>
  <c r="AD18" i="31"/>
  <c r="L42" i="6"/>
  <c r="L43" i="8"/>
  <c r="AC13" i="21"/>
  <c r="AC32" i="6"/>
  <c r="L17" i="31"/>
  <c r="K39" i="10"/>
  <c r="C50" i="8"/>
  <c r="R50" i="10" s="1"/>
  <c r="AC23" i="10"/>
  <c r="AD13" i="25"/>
  <c r="X45" i="10"/>
  <c r="C45" i="10"/>
  <c r="AI45" i="10"/>
  <c r="AL45" i="10"/>
  <c r="D13" i="33"/>
  <c r="AK45" i="10"/>
  <c r="AJ45" i="10"/>
  <c r="I34" i="10"/>
  <c r="J12" i="31"/>
  <c r="AF18" i="31"/>
  <c r="D21" i="7"/>
  <c r="U9" i="3"/>
  <c r="U10" i="8"/>
  <c r="C21" i="7"/>
  <c r="F49" i="8"/>
  <c r="F48" i="3"/>
  <c r="H50" i="8"/>
  <c r="AF36" i="10"/>
  <c r="AG14" i="31"/>
  <c r="AD21" i="7"/>
  <c r="AB9" i="6"/>
  <c r="P39" i="10"/>
  <c r="Q17" i="31"/>
  <c r="K32" i="6"/>
  <c r="AG21" i="7"/>
  <c r="W27" i="8"/>
  <c r="W26" i="3"/>
  <c r="Q13" i="25"/>
  <c r="P23" i="10"/>
  <c r="Q53" i="8"/>
  <c r="Q53" i="10" s="1"/>
  <c r="U53" i="8"/>
  <c r="U53" i="10" s="1"/>
  <c r="J48" i="6"/>
  <c r="L14" i="7"/>
  <c r="F18" i="31"/>
  <c r="F34" i="10"/>
  <c r="G12" i="31"/>
  <c r="S22" i="8"/>
  <c r="S21" i="3"/>
  <c r="W48" i="7"/>
  <c r="H32" i="3"/>
  <c r="H33" i="8"/>
  <c r="P32" i="6"/>
  <c r="J9" i="6"/>
  <c r="K17" i="31"/>
  <c r="J39" i="10"/>
  <c r="AD39" i="10"/>
  <c r="AE17" i="31"/>
  <c r="U32" i="6"/>
  <c r="M42" i="3"/>
  <c r="J11" i="8"/>
  <c r="U16" i="8"/>
  <c r="AC48" i="3"/>
  <c r="AC49" i="8"/>
  <c r="W14" i="6"/>
  <c r="AB21" i="6"/>
  <c r="J52" i="8"/>
  <c r="AC51" i="8"/>
  <c r="Z32" i="7"/>
  <c r="G9" i="7"/>
  <c r="AC15" i="23"/>
  <c r="V18" i="8"/>
  <c r="AG32" i="6"/>
  <c r="O29" i="8"/>
  <c r="AA11" i="8"/>
  <c r="J45" i="8"/>
  <c r="E43" i="8"/>
  <c r="E42" i="6"/>
  <c r="Q17" i="8"/>
  <c r="AE15" i="31"/>
  <c r="AD37" i="10"/>
  <c r="AC17" i="8"/>
  <c r="Z29" i="8"/>
  <c r="W17" i="8"/>
  <c r="AI14" i="33"/>
  <c r="AD26" i="7"/>
  <c r="Q12" i="8"/>
  <c r="W24" i="8"/>
  <c r="W9" i="7"/>
  <c r="M12" i="8"/>
  <c r="K23" i="8"/>
  <c r="I49" i="8"/>
  <c r="I48" i="3"/>
  <c r="AI18" i="23"/>
  <c r="M44" i="8"/>
  <c r="AF50" i="8"/>
  <c r="W32" i="6"/>
  <c r="N23" i="8"/>
  <c r="K9" i="3"/>
  <c r="K10" i="8"/>
  <c r="E24" i="8"/>
  <c r="AD10" i="8"/>
  <c r="AD9" i="3"/>
  <c r="AE14" i="3"/>
  <c r="AE15" i="8"/>
  <c r="T42" i="3"/>
  <c r="AE26" i="7"/>
  <c r="W23" i="8"/>
  <c r="AE9" i="3"/>
  <c r="AE10" i="8"/>
  <c r="R29" i="10"/>
  <c r="S13" i="27"/>
  <c r="V33" i="8"/>
  <c r="V32" i="3"/>
  <c r="I15" i="8"/>
  <c r="I14" i="3"/>
  <c r="V21" i="6"/>
  <c r="Y12" i="31"/>
  <c r="X34" i="10"/>
  <c r="D36" i="10"/>
  <c r="E14" i="31"/>
  <c r="R22" i="8"/>
  <c r="R21" i="3"/>
  <c r="U48" i="7"/>
  <c r="X42" i="7"/>
  <c r="AH15" i="31"/>
  <c r="AG37" i="10"/>
  <c r="V34" i="10"/>
  <c r="W12" i="31"/>
  <c r="X42" i="3"/>
  <c r="T13" i="31"/>
  <c r="S35" i="10"/>
  <c r="O9" i="7"/>
  <c r="L35" i="8"/>
  <c r="J42" i="3"/>
  <c r="V14" i="33"/>
  <c r="L14" i="23"/>
  <c r="K17" i="10"/>
  <c r="S12" i="27"/>
  <c r="J14" i="7"/>
  <c r="AB24" i="8"/>
  <c r="J15" i="8"/>
  <c r="J14" i="3"/>
  <c r="M52" i="8"/>
  <c r="M52" i="10" s="1"/>
  <c r="AB28" i="8"/>
  <c r="S32" i="6"/>
  <c r="L32" i="3"/>
  <c r="L33" i="8"/>
  <c r="N14" i="3"/>
  <c r="N15" i="8"/>
  <c r="N37" i="10"/>
  <c r="O15" i="31"/>
  <c r="L54" i="8"/>
  <c r="L54" i="10" s="1"/>
  <c r="G27" i="8"/>
  <c r="G26" i="3"/>
  <c r="N12" i="10"/>
  <c r="C12" i="10"/>
  <c r="AI12" i="10"/>
  <c r="D14" i="21"/>
  <c r="AL12" i="10"/>
  <c r="AJ12" i="10"/>
  <c r="AK12" i="10"/>
  <c r="G42" i="7"/>
  <c r="T23" i="8"/>
  <c r="C48" i="6"/>
  <c r="AE12" i="31"/>
  <c r="AD34" i="10"/>
  <c r="E52" i="8"/>
  <c r="Z9" i="3"/>
  <c r="Z10" i="8"/>
  <c r="K21" i="7"/>
  <c r="W14" i="31"/>
  <c r="V36" i="10"/>
  <c r="AE43" i="8"/>
  <c r="AE42" i="6"/>
  <c r="AI14" i="21"/>
  <c r="AH12" i="10"/>
  <c r="F54" i="8"/>
  <c r="D9" i="7"/>
  <c r="R10" i="8"/>
  <c r="R9" i="3"/>
  <c r="O42" i="3"/>
  <c r="AE42" i="3"/>
  <c r="H30" i="8"/>
  <c r="X48" i="7"/>
  <c r="AB12" i="8"/>
  <c r="AD11" i="8"/>
  <c r="I9" i="7"/>
  <c r="AG33" i="8"/>
  <c r="AG32" i="3"/>
  <c r="Y18" i="8"/>
  <c r="Z33" i="8"/>
  <c r="Z32" i="3"/>
  <c r="L32" i="6"/>
  <c r="K9" i="6"/>
  <c r="AF9" i="6"/>
  <c r="G19" i="8"/>
  <c r="Q9" i="7"/>
  <c r="Y24" i="8"/>
  <c r="R14" i="31"/>
  <c r="Q36" i="10"/>
  <c r="AC52" i="8"/>
  <c r="Z48" i="6"/>
  <c r="C22" i="8"/>
  <c r="C21" i="3"/>
  <c r="F15" i="8"/>
  <c r="F14" i="3"/>
  <c r="W33" i="8"/>
  <c r="W32" i="3"/>
  <c r="AC18" i="23"/>
  <c r="Z9" i="6"/>
  <c r="D32" i="6"/>
  <c r="F48" i="6"/>
  <c r="AA30" i="8"/>
  <c r="AE34" i="10"/>
  <c r="AF12" i="31"/>
  <c r="E30" i="8"/>
  <c r="C9" i="6"/>
  <c r="I26" i="7"/>
  <c r="AG48" i="7"/>
  <c r="Q52" i="8"/>
  <c r="F36" i="10"/>
  <c r="G14" i="31"/>
  <c r="AB42" i="3"/>
  <c r="K21" i="3"/>
  <c r="K22" i="8"/>
  <c r="AC32" i="7"/>
  <c r="Q39" i="10"/>
  <c r="R17" i="31"/>
  <c r="O14" i="6"/>
  <c r="N12" i="31"/>
  <c r="M34" i="10"/>
  <c r="AA24" i="8"/>
  <c r="L34" i="10"/>
  <c r="M12" i="31"/>
  <c r="AG42" i="3"/>
  <c r="R14" i="3"/>
  <c r="R15" i="8"/>
  <c r="V29" i="8"/>
  <c r="AC54" i="8"/>
  <c r="AB39" i="10"/>
  <c r="AC17" i="31"/>
  <c r="AD14" i="27" l="1"/>
  <c r="H6" i="6"/>
  <c r="I8" i="41" s="1"/>
  <c r="AG44" i="10"/>
  <c r="AH45" i="10"/>
  <c r="K12" i="10"/>
  <c r="U51" i="10"/>
  <c r="V6" i="6"/>
  <c r="W8" i="41" s="1"/>
  <c r="AD6" i="6"/>
  <c r="AE8" i="41" s="1"/>
  <c r="P18" i="10"/>
  <c r="Z51" i="10"/>
  <c r="AG51" i="10"/>
  <c r="X23" i="10"/>
  <c r="AH6" i="6"/>
  <c r="AI8" i="41" s="1"/>
  <c r="AE51" i="10"/>
  <c r="AB51" i="10"/>
  <c r="N51" i="10"/>
  <c r="R24" i="10"/>
  <c r="R51" i="10"/>
  <c r="F18" i="10"/>
  <c r="E51" i="10"/>
  <c r="AD18" i="10"/>
  <c r="AB18" i="10"/>
  <c r="F51" i="10"/>
  <c r="E18" i="10"/>
  <c r="G51" i="10"/>
  <c r="AA6" i="6"/>
  <c r="AB8" i="41" s="1"/>
  <c r="AA51" i="10"/>
  <c r="J51" i="10"/>
  <c r="I18" i="10"/>
  <c r="P51" i="10"/>
  <c r="AK18" i="10"/>
  <c r="R18" i="10"/>
  <c r="C18" i="10"/>
  <c r="X51" i="10"/>
  <c r="H51" i="10"/>
  <c r="AD51" i="10"/>
  <c r="N24" i="10"/>
  <c r="V51" i="10"/>
  <c r="AL18" i="10"/>
  <c r="AC51" i="10"/>
  <c r="D15" i="23"/>
  <c r="S18" i="10"/>
  <c r="O51" i="10"/>
  <c r="AJ18" i="10"/>
  <c r="S51" i="10"/>
  <c r="I51" i="10"/>
  <c r="AI18" i="10"/>
  <c r="D51" i="10"/>
  <c r="M51" i="10"/>
  <c r="N50" i="10"/>
  <c r="H50" i="10"/>
  <c r="I50" i="10"/>
  <c r="AH7" i="7"/>
  <c r="AB50" i="10"/>
  <c r="AL52" i="10"/>
  <c r="Z40" i="10"/>
  <c r="AF52" i="10"/>
  <c r="S52" i="10"/>
  <c r="Q52" i="10"/>
  <c r="R14" i="7"/>
  <c r="R6" i="7" s="1"/>
  <c r="S9" i="41" s="1"/>
  <c r="I40" i="10"/>
  <c r="D52" i="10"/>
  <c r="AB40" i="10"/>
  <c r="AB44" i="10"/>
  <c r="I52" i="10"/>
  <c r="Y52" i="10"/>
  <c r="U52" i="10"/>
  <c r="AI52" i="10"/>
  <c r="P52" i="10"/>
  <c r="AF40" i="10"/>
  <c r="G52" i="10"/>
  <c r="L40" i="10"/>
  <c r="AH50" i="10"/>
  <c r="AF50" i="10"/>
  <c r="AA52" i="10"/>
  <c r="F52" i="10"/>
  <c r="U40" i="10"/>
  <c r="Q40" i="10"/>
  <c r="AB52" i="10"/>
  <c r="AH6" i="7"/>
  <c r="AI9" i="41" s="1"/>
  <c r="Z52" i="10"/>
  <c r="O52" i="10"/>
  <c r="AK52" i="10"/>
  <c r="W18" i="10"/>
  <c r="H52" i="10"/>
  <c r="C52" i="10"/>
  <c r="W40" i="10"/>
  <c r="T51" i="10"/>
  <c r="K51" i="10"/>
  <c r="G40" i="10"/>
  <c r="C6" i="7"/>
  <c r="D9" i="41" s="1"/>
  <c r="AC40" i="10"/>
  <c r="O40" i="10"/>
  <c r="L52" i="10"/>
  <c r="T52" i="10"/>
  <c r="AJ52" i="10"/>
  <c r="V52" i="10"/>
  <c r="H7" i="7"/>
  <c r="K40" i="10"/>
  <c r="AL40" i="10"/>
  <c r="AG40" i="10"/>
  <c r="Q44" i="10"/>
  <c r="X52" i="10"/>
  <c r="H24" i="10"/>
  <c r="S14" i="7"/>
  <c r="S7" i="7" s="1"/>
  <c r="Y44" i="10"/>
  <c r="AI40" i="10"/>
  <c r="S40" i="10"/>
  <c r="J40" i="10"/>
  <c r="E40" i="10"/>
  <c r="N52" i="10"/>
  <c r="S44" i="10"/>
  <c r="AH40" i="10"/>
  <c r="AK40" i="10"/>
  <c r="K52" i="10"/>
  <c r="P44" i="10"/>
  <c r="R40" i="10"/>
  <c r="E52" i="10"/>
  <c r="W19" i="8"/>
  <c r="R44" i="10"/>
  <c r="AC52" i="10"/>
  <c r="G44" i="10"/>
  <c r="J52" i="10"/>
  <c r="AE40" i="10"/>
  <c r="C40" i="10"/>
  <c r="E44" i="10"/>
  <c r="AF51" i="10"/>
  <c r="F44" i="10"/>
  <c r="AG23" i="10"/>
  <c r="D40" i="10"/>
  <c r="AH52" i="10"/>
  <c r="D18" i="31"/>
  <c r="AE44" i="10"/>
  <c r="AA44" i="10"/>
  <c r="AB14" i="7"/>
  <c r="W52" i="10"/>
  <c r="K44" i="10"/>
  <c r="AE52" i="10"/>
  <c r="T44" i="10"/>
  <c r="AA19" i="8"/>
  <c r="Y51" i="10"/>
  <c r="AD44" i="10"/>
  <c r="C7" i="7"/>
  <c r="X7" i="6"/>
  <c r="V19" i="8"/>
  <c r="W6" i="6"/>
  <c r="X8" i="41" s="1"/>
  <c r="X6" i="6"/>
  <c r="Y8" i="41" s="1"/>
  <c r="AC6" i="7"/>
  <c r="AD9" i="41" s="1"/>
  <c r="X7" i="7"/>
  <c r="E12" i="27"/>
  <c r="AD52" i="10"/>
  <c r="E50" i="10"/>
  <c r="D7" i="6"/>
  <c r="P11" i="10"/>
  <c r="M6" i="6"/>
  <c r="N8" i="41" s="1"/>
  <c r="AC19" i="8"/>
  <c r="AC14" i="8" s="1"/>
  <c r="W51" i="10"/>
  <c r="AG52" i="10"/>
  <c r="U6" i="6"/>
  <c r="V8" i="41" s="1"/>
  <c r="AD6" i="7"/>
  <c r="AE9" i="41" s="1"/>
  <c r="R7" i="6"/>
  <c r="V7" i="6"/>
  <c r="X6" i="7"/>
  <c r="Y9" i="41" s="1"/>
  <c r="G50" i="10"/>
  <c r="J50" i="10"/>
  <c r="Q7" i="7"/>
  <c r="AD7" i="7"/>
  <c r="AG6" i="6"/>
  <c r="AH8" i="41" s="1"/>
  <c r="AH7" i="6"/>
  <c r="Q7" i="6"/>
  <c r="Y50" i="10"/>
  <c r="U7" i="6"/>
  <c r="Q6" i="6"/>
  <c r="R8" i="41" s="1"/>
  <c r="AA6" i="7"/>
  <c r="AB9" i="41" s="1"/>
  <c r="AH44" i="10"/>
  <c r="AC7" i="7"/>
  <c r="N7" i="7"/>
  <c r="AA50" i="10"/>
  <c r="AB11" i="10"/>
  <c r="AG50" i="10"/>
  <c r="X44" i="10"/>
  <c r="D6" i="6"/>
  <c r="E8" i="41" s="1"/>
  <c r="AD7" i="6"/>
  <c r="E7" i="7"/>
  <c r="G16" i="10"/>
  <c r="Q50" i="10"/>
  <c r="R7" i="3"/>
  <c r="R6" i="3"/>
  <c r="S7" i="41" s="1"/>
  <c r="AA13" i="27"/>
  <c r="Z29" i="10"/>
  <c r="U7" i="3"/>
  <c r="U6" i="3"/>
  <c r="V7" i="41" s="1"/>
  <c r="L7" i="3"/>
  <c r="L6" i="3"/>
  <c r="M7" i="41" s="1"/>
  <c r="V13" i="21"/>
  <c r="U11" i="10"/>
  <c r="AB12" i="21"/>
  <c r="AA9" i="8"/>
  <c r="AA10" i="10"/>
  <c r="AC6" i="6"/>
  <c r="AD8" i="41" s="1"/>
  <c r="AC7" i="6"/>
  <c r="M13" i="25"/>
  <c r="L23" i="10"/>
  <c r="N11" i="27"/>
  <c r="M27" i="10"/>
  <c r="M26" i="8"/>
  <c r="R9" i="8"/>
  <c r="S12" i="21"/>
  <c r="R10" i="10"/>
  <c r="Z9" i="8"/>
  <c r="Z10" i="10"/>
  <c r="AA12" i="21"/>
  <c r="AD6" i="3"/>
  <c r="AE7" i="41" s="1"/>
  <c r="AD7" i="3"/>
  <c r="W11" i="31"/>
  <c r="V33" i="10"/>
  <c r="V32" i="8"/>
  <c r="I49" i="10"/>
  <c r="I48" i="8"/>
  <c r="N22" i="10"/>
  <c r="O12" i="25"/>
  <c r="N21" i="8"/>
  <c r="G11" i="31"/>
  <c r="F33" i="10"/>
  <c r="F32" i="8"/>
  <c r="C54" i="10"/>
  <c r="AK54" i="10"/>
  <c r="AI54" i="10"/>
  <c r="AL54" i="10"/>
  <c r="AJ54" i="10"/>
  <c r="U11" i="31"/>
  <c r="T33" i="10"/>
  <c r="T32" i="8"/>
  <c r="N15" i="23"/>
  <c r="M18" i="10"/>
  <c r="AI16" i="23"/>
  <c r="AH19" i="10"/>
  <c r="AF11" i="31"/>
  <c r="AE33" i="10"/>
  <c r="AE32" i="8"/>
  <c r="N9" i="8"/>
  <c r="O12" i="21"/>
  <c r="N10" i="10"/>
  <c r="N7" i="6"/>
  <c r="N6" i="6"/>
  <c r="O8" i="41" s="1"/>
  <c r="M15" i="23"/>
  <c r="L18" i="10"/>
  <c r="F12" i="10"/>
  <c r="G14" i="21"/>
  <c r="L12" i="23"/>
  <c r="K15" i="10"/>
  <c r="K14" i="8"/>
  <c r="AD12" i="21"/>
  <c r="AC10" i="10"/>
  <c r="AC9" i="8"/>
  <c r="G11" i="10"/>
  <c r="AE50" i="10"/>
  <c r="AD50" i="10"/>
  <c r="G14" i="8"/>
  <c r="G15" i="10"/>
  <c r="H12" i="23"/>
  <c r="M13" i="23"/>
  <c r="L16" i="10"/>
  <c r="AF14" i="23"/>
  <c r="AE17" i="10"/>
  <c r="N54" i="10"/>
  <c r="AD14" i="33"/>
  <c r="D7" i="3"/>
  <c r="D6" i="3"/>
  <c r="E7" i="41" s="1"/>
  <c r="Z48" i="8"/>
  <c r="Z49" i="10"/>
  <c r="AH27" i="10"/>
  <c r="AH26" i="8"/>
  <c r="AI11" i="27"/>
  <c r="AE23" i="10"/>
  <c r="AF13" i="25"/>
  <c r="R13" i="21"/>
  <c r="Q11" i="10"/>
  <c r="H27" i="10"/>
  <c r="I11" i="27"/>
  <c r="H26" i="8"/>
  <c r="I12" i="27"/>
  <c r="H28" i="10"/>
  <c r="Z12" i="25"/>
  <c r="Y22" i="10"/>
  <c r="Y21" i="8"/>
  <c r="AA7" i="6"/>
  <c r="Z23" i="10"/>
  <c r="AA13" i="25"/>
  <c r="V49" i="10"/>
  <c r="V48" i="8"/>
  <c r="M6" i="7"/>
  <c r="N9" i="41" s="1"/>
  <c r="M7" i="7"/>
  <c r="AD14" i="25"/>
  <c r="AC24" i="10"/>
  <c r="H49" i="10"/>
  <c r="H48" i="8"/>
  <c r="AB19" i="10"/>
  <c r="AC16" i="23"/>
  <c r="AI10" i="10"/>
  <c r="AL10" i="10"/>
  <c r="C10" i="10"/>
  <c r="C9" i="8"/>
  <c r="D12" i="21"/>
  <c r="AK10" i="10"/>
  <c r="AJ10" i="10"/>
  <c r="Z11" i="31"/>
  <c r="Y33" i="10"/>
  <c r="Y32" i="8"/>
  <c r="X13" i="23"/>
  <c r="W16" i="10"/>
  <c r="W44" i="10"/>
  <c r="X12" i="33"/>
  <c r="I13" i="27"/>
  <c r="H29" i="10"/>
  <c r="AG6" i="7"/>
  <c r="AH9" i="41" s="1"/>
  <c r="I6" i="3"/>
  <c r="J7" i="41" s="1"/>
  <c r="I7" i="3"/>
  <c r="O14" i="33"/>
  <c r="W12" i="27"/>
  <c r="V28" i="10"/>
  <c r="S11" i="33"/>
  <c r="R42" i="8"/>
  <c r="R43" i="10"/>
  <c r="AH11" i="31"/>
  <c r="AG33" i="10"/>
  <c r="AG32" i="8"/>
  <c r="K12" i="23"/>
  <c r="J14" i="8"/>
  <c r="J15" i="10"/>
  <c r="K10" i="10"/>
  <c r="L12" i="21"/>
  <c r="K9" i="8"/>
  <c r="M12" i="10"/>
  <c r="N14" i="21"/>
  <c r="G6" i="7"/>
  <c r="H9" i="41" s="1"/>
  <c r="G7" i="7"/>
  <c r="P14" i="25"/>
  <c r="O24" i="10"/>
  <c r="K12" i="27"/>
  <c r="J28" i="10"/>
  <c r="L6" i="6"/>
  <c r="M8" i="41" s="1"/>
  <c r="L7" i="6"/>
  <c r="J54" i="10"/>
  <c r="V15" i="23"/>
  <c r="U18" i="10"/>
  <c r="X13" i="31"/>
  <c r="W35" i="10"/>
  <c r="K49" i="10"/>
  <c r="K48" i="8"/>
  <c r="H17" i="10"/>
  <c r="F12" i="23"/>
  <c r="E15" i="10"/>
  <c r="E14" i="8"/>
  <c r="Z12" i="23"/>
  <c r="Y15" i="10"/>
  <c r="Y14" i="8"/>
  <c r="H19" i="10"/>
  <c r="I16" i="23"/>
  <c r="J14" i="33"/>
  <c r="K16" i="10"/>
  <c r="L13" i="23"/>
  <c r="X14" i="33"/>
  <c r="AC50" i="10"/>
  <c r="K11" i="31"/>
  <c r="J33" i="10"/>
  <c r="J32" i="8"/>
  <c r="AE18" i="31"/>
  <c r="AD40" i="10"/>
  <c r="AE11" i="31"/>
  <c r="AD32" i="8"/>
  <c r="AD33" i="10"/>
  <c r="R30" i="10"/>
  <c r="S14" i="27"/>
  <c r="Y15" i="23"/>
  <c r="X18" i="10"/>
  <c r="L7" i="7"/>
  <c r="L6" i="7"/>
  <c r="M9" i="41" s="1"/>
  <c r="S7" i="6"/>
  <c r="S6" i="6"/>
  <c r="T8" i="41" s="1"/>
  <c r="T9" i="8"/>
  <c r="T10" i="10"/>
  <c r="U12" i="21"/>
  <c r="E6" i="7"/>
  <c r="F9" i="41" s="1"/>
  <c r="AH14" i="33"/>
  <c r="U13" i="27"/>
  <c r="T29" i="10"/>
  <c r="N7" i="3"/>
  <c r="N6" i="3"/>
  <c r="O7" i="41" s="1"/>
  <c r="O54" i="10"/>
  <c r="D50" i="10"/>
  <c r="Q6" i="7"/>
  <c r="R9" i="41" s="1"/>
  <c r="I33" i="10"/>
  <c r="I32" i="8"/>
  <c r="J11" i="31"/>
  <c r="P6" i="6"/>
  <c r="Q8" i="41" s="1"/>
  <c r="P7" i="6"/>
  <c r="Y30" i="10"/>
  <c r="Z14" i="27"/>
  <c r="AA42" i="8"/>
  <c r="AA43" i="10"/>
  <c r="AB11" i="33"/>
  <c r="AC7" i="3"/>
  <c r="AC6" i="3"/>
  <c r="AD7" i="41" s="1"/>
  <c r="J48" i="8"/>
  <c r="J49" i="10"/>
  <c r="H14" i="23"/>
  <c r="G17" i="10"/>
  <c r="AF13" i="33"/>
  <c r="AE45" i="10"/>
  <c r="R54" i="10"/>
  <c r="AG7" i="7"/>
  <c r="E14" i="33"/>
  <c r="AJ49" i="10"/>
  <c r="AI49" i="10"/>
  <c r="AK49" i="10"/>
  <c r="C49" i="10"/>
  <c r="AL49" i="10"/>
  <c r="C48" i="8"/>
  <c r="M17" i="10"/>
  <c r="AF54" i="10"/>
  <c r="U14" i="27"/>
  <c r="T30" i="10"/>
  <c r="AH14" i="23"/>
  <c r="AG17" i="10"/>
  <c r="V11" i="31"/>
  <c r="U33" i="10"/>
  <c r="U32" i="8"/>
  <c r="E45" i="10"/>
  <c r="F13" i="33"/>
  <c r="AH12" i="25"/>
  <c r="AG22" i="10"/>
  <c r="AG21" i="8"/>
  <c r="AB32" i="8"/>
  <c r="AB33" i="10"/>
  <c r="AC11" i="31"/>
  <c r="G43" i="10"/>
  <c r="H11" i="33"/>
  <c r="G42" i="8"/>
  <c r="AH51" i="10"/>
  <c r="V19" i="10"/>
  <c r="W16" i="23"/>
  <c r="F50" i="10"/>
  <c r="T16" i="10"/>
  <c r="U13" i="23"/>
  <c r="D16" i="23"/>
  <c r="AK19" i="10"/>
  <c r="AI19" i="10"/>
  <c r="C19" i="10"/>
  <c r="AJ19" i="10"/>
  <c r="AL19" i="10"/>
  <c r="R16" i="23"/>
  <c r="Q19" i="10"/>
  <c r="AA12" i="23"/>
  <c r="Z15" i="10"/>
  <c r="Z14" i="8"/>
  <c r="O45" i="10"/>
  <c r="P13" i="33"/>
  <c r="N13" i="27"/>
  <c r="M29" i="10"/>
  <c r="AF28" i="10"/>
  <c r="AG12" i="27"/>
  <c r="U19" i="10"/>
  <c r="V16" i="23"/>
  <c r="AB14" i="25"/>
  <c r="AA24" i="10"/>
  <c r="AC13" i="33"/>
  <c r="AB45" i="10"/>
  <c r="E14" i="27"/>
  <c r="D30" i="10"/>
  <c r="G48" i="8"/>
  <c r="G49" i="10"/>
  <c r="O12" i="23"/>
  <c r="N15" i="10"/>
  <c r="N14" i="8"/>
  <c r="AB24" i="10"/>
  <c r="AC14" i="25"/>
  <c r="K7" i="3"/>
  <c r="K6" i="3"/>
  <c r="L7" i="41" s="1"/>
  <c r="W6" i="7"/>
  <c r="X9" i="41" s="1"/>
  <c r="W7" i="7"/>
  <c r="R14" i="23"/>
  <c r="Q17" i="10"/>
  <c r="S21" i="8"/>
  <c r="S22" i="10"/>
  <c r="T12" i="25"/>
  <c r="AH13" i="23"/>
  <c r="AG16" i="10"/>
  <c r="F12" i="27"/>
  <c r="E28" i="10"/>
  <c r="AI11" i="33"/>
  <c r="AH43" i="10"/>
  <c r="AH42" i="8"/>
  <c r="H14" i="33"/>
  <c r="G54" i="10"/>
  <c r="U30" i="10"/>
  <c r="V14" i="27"/>
  <c r="G13" i="31"/>
  <c r="F35" i="10"/>
  <c r="E32" i="8"/>
  <c r="E33" i="10"/>
  <c r="F11" i="31"/>
  <c r="P15" i="10"/>
  <c r="Q12" i="23"/>
  <c r="P14" i="8"/>
  <c r="AF14" i="27"/>
  <c r="AE30" i="10"/>
  <c r="Z13" i="27"/>
  <c r="Y29" i="10"/>
  <c r="AI13" i="21"/>
  <c r="AH11" i="10"/>
  <c r="M35" i="10"/>
  <c r="N13" i="31"/>
  <c r="AB7" i="7"/>
  <c r="AB6" i="7"/>
  <c r="AC9" i="41" s="1"/>
  <c r="M7" i="6"/>
  <c r="R13" i="27"/>
  <c r="Q29" i="10"/>
  <c r="AG16" i="23"/>
  <c r="AF19" i="10"/>
  <c r="AF22" i="10"/>
  <c r="AF21" i="8"/>
  <c r="AG12" i="25"/>
  <c r="Z50" i="10"/>
  <c r="T7" i="3"/>
  <c r="T6" i="3"/>
  <c r="U7" i="41" s="1"/>
  <c r="K50" i="10"/>
  <c r="H12" i="25"/>
  <c r="G22" i="10"/>
  <c r="G21" i="8"/>
  <c r="AD12" i="27"/>
  <c r="AC28" i="10"/>
  <c r="AF7" i="3"/>
  <c r="AF6" i="3"/>
  <c r="AG7" i="41" s="1"/>
  <c r="E13" i="25"/>
  <c r="D23" i="10"/>
  <c r="U22" i="10"/>
  <c r="V12" i="25"/>
  <c r="U21" i="8"/>
  <c r="N18" i="31"/>
  <c r="M40" i="10"/>
  <c r="C43" i="10"/>
  <c r="AI43" i="10"/>
  <c r="C42" i="8"/>
  <c r="AK43" i="10"/>
  <c r="AJ43" i="10"/>
  <c r="AL43" i="10"/>
  <c r="D11" i="33"/>
  <c r="O28" i="10"/>
  <c r="P12" i="27"/>
  <c r="AE13" i="31"/>
  <c r="AD35" i="10"/>
  <c r="D43" i="10"/>
  <c r="E11" i="33"/>
  <c r="D42" i="8"/>
  <c r="O16" i="23"/>
  <c r="N19" i="10"/>
  <c r="AH13" i="21"/>
  <c r="AG11" i="10"/>
  <c r="L13" i="27"/>
  <c r="K29" i="10"/>
  <c r="AG7" i="6"/>
  <c r="F7" i="3"/>
  <c r="F6" i="3"/>
  <c r="G7" i="41" s="1"/>
  <c r="AG54" i="10"/>
  <c r="R23" i="10"/>
  <c r="S13" i="25"/>
  <c r="AF15" i="23"/>
  <c r="AE18" i="10"/>
  <c r="U50" i="10"/>
  <c r="Y7" i="6"/>
  <c r="Y6" i="6"/>
  <c r="Z8" i="41" s="1"/>
  <c r="AJ27" i="10"/>
  <c r="AI27" i="10"/>
  <c r="C26" i="8"/>
  <c r="AK27" i="10"/>
  <c r="D11" i="27"/>
  <c r="C27" i="10"/>
  <c r="AL27" i="10"/>
  <c r="P26" i="8"/>
  <c r="Q11" i="27"/>
  <c r="P27" i="10"/>
  <c r="AD48" i="8"/>
  <c r="AD49" i="10"/>
  <c r="AI12" i="27"/>
  <c r="AH28" i="10"/>
  <c r="J13" i="31"/>
  <c r="I35" i="10"/>
  <c r="O13" i="23"/>
  <c r="N16" i="10"/>
  <c r="T6" i="7"/>
  <c r="U9" i="41" s="1"/>
  <c r="T7" i="7"/>
  <c r="C51" i="10"/>
  <c r="AJ51" i="10"/>
  <c r="AL51" i="10"/>
  <c r="AK51" i="10"/>
  <c r="AI51" i="10"/>
  <c r="Z44" i="10"/>
  <c r="N12" i="21"/>
  <c r="M10" i="10"/>
  <c r="M9" i="8"/>
  <c r="R6" i="6"/>
  <c r="S8" i="41" s="1"/>
  <c r="V6" i="7"/>
  <c r="W9" i="41" s="1"/>
  <c r="V7" i="7"/>
  <c r="G11" i="33"/>
  <c r="F43" i="10"/>
  <c r="F42" i="8"/>
  <c r="AL23" i="10"/>
  <c r="AJ23" i="10"/>
  <c r="C23" i="10"/>
  <c r="AK23" i="10"/>
  <c r="D13" i="25"/>
  <c r="AI23" i="10"/>
  <c r="T23" i="10"/>
  <c r="U13" i="25"/>
  <c r="R21" i="8"/>
  <c r="S12" i="25"/>
  <c r="R22" i="10"/>
  <c r="C7" i="3"/>
  <c r="C6" i="3"/>
  <c r="D7" i="41" s="1"/>
  <c r="AB14" i="21"/>
  <c r="AA12" i="10"/>
  <c r="P17" i="10"/>
  <c r="Q14" i="23"/>
  <c r="K7" i="7"/>
  <c r="AE14" i="21"/>
  <c r="AD12" i="10"/>
  <c r="V11" i="10"/>
  <c r="W13" i="21"/>
  <c r="J17" i="10"/>
  <c r="AL17" i="10"/>
  <c r="AJ17" i="10"/>
  <c r="D14" i="23"/>
  <c r="AK17" i="10"/>
  <c r="C17" i="10"/>
  <c r="AI17" i="10"/>
  <c r="V15" i="10"/>
  <c r="W12" i="23"/>
  <c r="V14" i="8"/>
  <c r="F54" i="10"/>
  <c r="L43" i="10"/>
  <c r="M11" i="33"/>
  <c r="L42" i="8"/>
  <c r="M14" i="21"/>
  <c r="L12" i="10"/>
  <c r="J24" i="10"/>
  <c r="K14" i="25"/>
  <c r="AI12" i="25"/>
  <c r="AH21" i="8"/>
  <c r="AH22" i="10"/>
  <c r="D24" i="10"/>
  <c r="E14" i="25"/>
  <c r="AG30" i="10"/>
  <c r="AH14" i="27"/>
  <c r="Y13" i="21"/>
  <c r="X11" i="10"/>
  <c r="X21" i="8"/>
  <c r="X22" i="10"/>
  <c r="Y12" i="25"/>
  <c r="X14" i="27"/>
  <c r="W30" i="10"/>
  <c r="O11" i="27"/>
  <c r="N26" i="8"/>
  <c r="N27" i="10"/>
  <c r="P15" i="23"/>
  <c r="O18" i="10"/>
  <c r="I22" i="10"/>
  <c r="I21" i="8"/>
  <c r="J12" i="25"/>
  <c r="AD15" i="23"/>
  <c r="AC18" i="10"/>
  <c r="T11" i="27"/>
  <c r="S27" i="10"/>
  <c r="S26" i="8"/>
  <c r="AJ11" i="10"/>
  <c r="AI11" i="10"/>
  <c r="AL11" i="10"/>
  <c r="C11" i="10"/>
  <c r="AK11" i="10"/>
  <c r="D13" i="21"/>
  <c r="AF11" i="27"/>
  <c r="AE27" i="10"/>
  <c r="AE26" i="8"/>
  <c r="U12" i="10"/>
  <c r="V14" i="21"/>
  <c r="D45" i="10"/>
  <c r="E13" i="33"/>
  <c r="AE49" i="10"/>
  <c r="AE48" i="8"/>
  <c r="E54" i="10"/>
  <c r="AC12" i="10"/>
  <c r="AD14" i="21"/>
  <c r="M14" i="25"/>
  <c r="L24" i="10"/>
  <c r="AG11" i="33"/>
  <c r="AF43" i="10"/>
  <c r="AF42" i="8"/>
  <c r="E6" i="3"/>
  <c r="F7" i="41" s="1"/>
  <c r="E7" i="3"/>
  <c r="F13" i="23"/>
  <c r="E16" i="10"/>
  <c r="AF10" i="10"/>
  <c r="AG12" i="21"/>
  <c r="AF9" i="8"/>
  <c r="M16" i="10"/>
  <c r="O42" i="8"/>
  <c r="P11" i="33"/>
  <c r="O43" i="10"/>
  <c r="N14" i="33"/>
  <c r="S16" i="10"/>
  <c r="T13" i="23"/>
  <c r="M32" i="8"/>
  <c r="M33" i="10"/>
  <c r="N11" i="31"/>
  <c r="D14" i="25"/>
  <c r="AI24" i="10"/>
  <c r="AL24" i="10"/>
  <c r="AJ24" i="10"/>
  <c r="C24" i="10"/>
  <c r="AK24" i="10"/>
  <c r="N6" i="7"/>
  <c r="O9" i="41" s="1"/>
  <c r="G24" i="10"/>
  <c r="P6" i="7"/>
  <c r="Q9" i="41" s="1"/>
  <c r="H13" i="25"/>
  <c r="G23" i="10"/>
  <c r="Q11" i="33"/>
  <c r="P43" i="10"/>
  <c r="P42" i="8"/>
  <c r="G12" i="21"/>
  <c r="F10" i="10"/>
  <c r="F9" i="8"/>
  <c r="Y16" i="23"/>
  <c r="X19" i="10"/>
  <c r="AE12" i="27"/>
  <c r="AD28" i="10"/>
  <c r="K28" i="10"/>
  <c r="L12" i="27"/>
  <c r="H22" i="10"/>
  <c r="I12" i="25"/>
  <c r="H21" i="8"/>
  <c r="AB7" i="3"/>
  <c r="AB6" i="3"/>
  <c r="AC7" i="41" s="1"/>
  <c r="AC11" i="10"/>
  <c r="V6" i="3"/>
  <c r="W7" i="41" s="1"/>
  <c r="V7" i="3"/>
  <c r="M12" i="23"/>
  <c r="L15" i="10"/>
  <c r="L14" i="8"/>
  <c r="AF14" i="25"/>
  <c r="AE24" i="10"/>
  <c r="AB22" i="10"/>
  <c r="AB21" i="8"/>
  <c r="AC12" i="25"/>
  <c r="W14" i="25"/>
  <c r="V24" i="10"/>
  <c r="W13" i="31"/>
  <c r="V35" i="10"/>
  <c r="P16" i="10"/>
  <c r="M6" i="3"/>
  <c r="N7" i="41" s="1"/>
  <c r="M7" i="3"/>
  <c r="X12" i="25"/>
  <c r="W22" i="10"/>
  <c r="W21" i="8"/>
  <c r="R13" i="23"/>
  <c r="Q16" i="10"/>
  <c r="F7" i="6"/>
  <c r="F6" i="6"/>
  <c r="G8" i="41" s="1"/>
  <c r="AG19" i="10"/>
  <c r="AH16" i="23"/>
  <c r="P16" i="23"/>
  <c r="O19" i="10"/>
  <c r="V18" i="10"/>
  <c r="W15" i="23"/>
  <c r="G14" i="25"/>
  <c r="F24" i="10"/>
  <c r="D21" i="8"/>
  <c r="E12" i="25"/>
  <c r="D22" i="10"/>
  <c r="U13" i="21"/>
  <c r="T11" i="10"/>
  <c r="AE13" i="27"/>
  <c r="AD29" i="10"/>
  <c r="AG14" i="27"/>
  <c r="AF30" i="10"/>
  <c r="AA33" i="10"/>
  <c r="AB11" i="31"/>
  <c r="AA32" i="8"/>
  <c r="AC42" i="8"/>
  <c r="AD11" i="33"/>
  <c r="AC43" i="10"/>
  <c r="AC12" i="23"/>
  <c r="AB14" i="8"/>
  <c r="AB15" i="10"/>
  <c r="F14" i="25"/>
  <c r="E24" i="10"/>
  <c r="T14" i="33"/>
  <c r="H40" i="10"/>
  <c r="I18" i="31"/>
  <c r="AA35" i="10"/>
  <c r="AB13" i="31"/>
  <c r="S11" i="31"/>
  <c r="R33" i="10"/>
  <c r="R32" i="8"/>
  <c r="M14" i="33"/>
  <c r="Z6" i="6"/>
  <c r="AA8" i="41" s="1"/>
  <c r="Z7" i="6"/>
  <c r="I7" i="7"/>
  <c r="I6" i="7"/>
  <c r="J9" i="41" s="1"/>
  <c r="Y24" i="10"/>
  <c r="Z14" i="25"/>
  <c r="AE13" i="21"/>
  <c r="AD11" i="10"/>
  <c r="O13" i="25"/>
  <c r="N23" i="10"/>
  <c r="T43" i="10"/>
  <c r="U11" i="33"/>
  <c r="T42" i="8"/>
  <c r="U27" i="10"/>
  <c r="U26" i="8"/>
  <c r="V11" i="27"/>
  <c r="AD13" i="23"/>
  <c r="AC16" i="10"/>
  <c r="X43" i="10"/>
  <c r="X42" i="8"/>
  <c r="Y11" i="33"/>
  <c r="G13" i="33"/>
  <c r="F45" i="10"/>
  <c r="AB12" i="10"/>
  <c r="AC14" i="21"/>
  <c r="L33" i="10"/>
  <c r="M11" i="31"/>
  <c r="L32" i="8"/>
  <c r="H6" i="7"/>
  <c r="I9" i="41" s="1"/>
  <c r="R17" i="10"/>
  <c r="I54" i="10"/>
  <c r="AE7" i="3"/>
  <c r="AE6" i="3"/>
  <c r="AF7" i="41" s="1"/>
  <c r="R14" i="21"/>
  <c r="Q12" i="10"/>
  <c r="E43" i="10"/>
  <c r="F11" i="33"/>
  <c r="E42" i="8"/>
  <c r="W14" i="8"/>
  <c r="W19" i="10"/>
  <c r="X16" i="23"/>
  <c r="W50" i="10"/>
  <c r="AJ50" i="10"/>
  <c r="AI50" i="10"/>
  <c r="AK50" i="10"/>
  <c r="C50" i="10"/>
  <c r="AL50" i="10"/>
  <c r="K15" i="23"/>
  <c r="J18" i="10"/>
  <c r="AB49" i="10"/>
  <c r="AB48" i="8"/>
  <c r="Y10" i="10"/>
  <c r="Z12" i="21"/>
  <c r="Y9" i="8"/>
  <c r="AH13" i="33"/>
  <c r="AG45" i="10"/>
  <c r="AA54" i="10"/>
  <c r="AG26" i="8"/>
  <c r="AH11" i="27"/>
  <c r="AG27" i="10"/>
  <c r="G7" i="3"/>
  <c r="G6" i="3"/>
  <c r="H7" i="41" s="1"/>
  <c r="P49" i="10"/>
  <c r="P48" i="8"/>
  <c r="AH15" i="23"/>
  <c r="AC13" i="23"/>
  <c r="AB16" i="10"/>
  <c r="K13" i="27"/>
  <c r="J29" i="10"/>
  <c r="L11" i="31"/>
  <c r="K32" i="8"/>
  <c r="K33" i="10"/>
  <c r="H7" i="6"/>
  <c r="E48" i="8"/>
  <c r="E49" i="10"/>
  <c r="T13" i="27"/>
  <c r="S29" i="10"/>
  <c r="E11" i="10"/>
  <c r="L29" i="10"/>
  <c r="M13" i="27"/>
  <c r="O6" i="6"/>
  <c r="P8" i="41" s="1"/>
  <c r="O7" i="6"/>
  <c r="AB15" i="23"/>
  <c r="AA18" i="10"/>
  <c r="S13" i="23"/>
  <c r="R16" i="10"/>
  <c r="D33" i="10"/>
  <c r="E11" i="31"/>
  <c r="D32" i="8"/>
  <c r="H11" i="10"/>
  <c r="R11" i="27"/>
  <c r="Q27" i="10"/>
  <c r="Q26" i="8"/>
  <c r="AC35" i="10"/>
  <c r="AD13" i="31"/>
  <c r="AF12" i="10"/>
  <c r="AG14" i="21"/>
  <c r="E10" i="10"/>
  <c r="E9" i="8"/>
  <c r="F12" i="21"/>
  <c r="Q49" i="10"/>
  <c r="Q48" i="8"/>
  <c r="L11" i="33"/>
  <c r="K43" i="10"/>
  <c r="K42" i="8"/>
  <c r="Y11" i="10"/>
  <c r="T11" i="31"/>
  <c r="S32" i="8"/>
  <c r="S33" i="10"/>
  <c r="X13" i="21"/>
  <c r="W11" i="10"/>
  <c r="G6" i="6"/>
  <c r="H8" i="41" s="1"/>
  <c r="G7" i="6"/>
  <c r="N14" i="27"/>
  <c r="M30" i="10"/>
  <c r="N28" i="10"/>
  <c r="O12" i="27"/>
  <c r="R27" i="10"/>
  <c r="R26" i="8"/>
  <c r="S11" i="27"/>
  <c r="J10" i="10"/>
  <c r="J9" i="8"/>
  <c r="K12" i="21"/>
  <c r="X6" i="3"/>
  <c r="Y7" i="41" s="1"/>
  <c r="X7" i="3"/>
  <c r="Q15" i="10"/>
  <c r="R12" i="23"/>
  <c r="Q14" i="8"/>
  <c r="Z21" i="8"/>
  <c r="AA12" i="25"/>
  <c r="Z22" i="10"/>
  <c r="AB9" i="8"/>
  <c r="AC12" i="21"/>
  <c r="AB10" i="10"/>
  <c r="G14" i="27"/>
  <c r="F30" i="10"/>
  <c r="W12" i="21"/>
  <c r="V10" i="10"/>
  <c r="V9" i="8"/>
  <c r="AH17" i="10"/>
  <c r="N17" i="10"/>
  <c r="T14" i="21"/>
  <c r="S12" i="10"/>
  <c r="M13" i="21"/>
  <c r="L11" i="10"/>
  <c r="H13" i="33"/>
  <c r="G45" i="10"/>
  <c r="AH30" i="10"/>
  <c r="AI14" i="27"/>
  <c r="O49" i="10"/>
  <c r="O48" i="8"/>
  <c r="AI13" i="23"/>
  <c r="AH16" i="10"/>
  <c r="L16" i="23"/>
  <c r="K19" i="10"/>
  <c r="F19" i="10"/>
  <c r="G16" i="23"/>
  <c r="D7" i="7"/>
  <c r="D6" i="7"/>
  <c r="E9" i="41" s="1"/>
  <c r="N11" i="10"/>
  <c r="O13" i="21"/>
  <c r="V43" i="10"/>
  <c r="W11" i="33"/>
  <c r="V42" i="8"/>
  <c r="U43" i="10"/>
  <c r="U42" i="8"/>
  <c r="V11" i="33"/>
  <c r="P11" i="31"/>
  <c r="O32" i="8"/>
  <c r="O33" i="10"/>
  <c r="M42" i="8"/>
  <c r="M43" i="10"/>
  <c r="N11" i="33"/>
  <c r="AE9" i="8"/>
  <c r="AF12" i="21"/>
  <c r="AE10" i="10"/>
  <c r="X14" i="25"/>
  <c r="W24" i="10"/>
  <c r="AC54" i="10"/>
  <c r="V29" i="10"/>
  <c r="W13" i="27"/>
  <c r="C6" i="6"/>
  <c r="D8" i="41" s="1"/>
  <c r="C7" i="6"/>
  <c r="W33" i="10"/>
  <c r="X11" i="31"/>
  <c r="W32" i="8"/>
  <c r="H16" i="23"/>
  <c r="G19" i="10"/>
  <c r="AE42" i="8"/>
  <c r="AF11" i="33"/>
  <c r="AE43" i="10"/>
  <c r="J7" i="7"/>
  <c r="W23" i="10"/>
  <c r="X13" i="25"/>
  <c r="K13" i="33"/>
  <c r="J45" i="10"/>
  <c r="W26" i="8"/>
  <c r="W27" i="10"/>
  <c r="X11" i="27"/>
  <c r="S50" i="10"/>
  <c r="Y6" i="3"/>
  <c r="Z7" i="41" s="1"/>
  <c r="Y7" i="3"/>
  <c r="AA27" i="10"/>
  <c r="AB11" i="27"/>
  <c r="AA26" i="8"/>
  <c r="T18" i="10"/>
  <c r="U15" i="23"/>
  <c r="Q54" i="10"/>
  <c r="V50" i="10"/>
  <c r="G9" i="8"/>
  <c r="H12" i="21"/>
  <c r="G10" i="10"/>
  <c r="X50" i="10"/>
  <c r="AC11" i="33"/>
  <c r="AB43" i="10"/>
  <c r="AB42" i="8"/>
  <c r="Q14" i="21"/>
  <c r="P12" i="10"/>
  <c r="N48" i="8"/>
  <c r="N49" i="10"/>
  <c r="X11" i="33"/>
  <c r="W43" i="10"/>
  <c r="W42" i="8"/>
  <c r="J11" i="33"/>
  <c r="I43" i="10"/>
  <c r="I42" i="8"/>
  <c r="AA13" i="21"/>
  <c r="Z11" i="10"/>
  <c r="Y14" i="23"/>
  <c r="X17" i="10"/>
  <c r="V14" i="23"/>
  <c r="U17" i="10"/>
  <c r="L14" i="25"/>
  <c r="K24" i="10"/>
  <c r="AH49" i="10"/>
  <c r="AH48" i="8"/>
  <c r="Y17" i="10"/>
  <c r="W12" i="33"/>
  <c r="V44" i="10"/>
  <c r="P13" i="25"/>
  <c r="O23" i="10"/>
  <c r="AF13" i="21"/>
  <c r="AE11" i="10"/>
  <c r="S42" i="8"/>
  <c r="S43" i="10"/>
  <c r="T11" i="33"/>
  <c r="AB17" i="10"/>
  <c r="Z6" i="7"/>
  <c r="AA9" i="41" s="1"/>
  <c r="Z7" i="7"/>
  <c r="T49" i="10"/>
  <c r="T48" i="8"/>
  <c r="Z11" i="33"/>
  <c r="Y43" i="10"/>
  <c r="Y42" i="8"/>
  <c r="M15" i="10"/>
  <c r="N12" i="23"/>
  <c r="M14" i="8"/>
  <c r="Q7" i="3"/>
  <c r="Q6" i="3"/>
  <c r="R7" i="41" s="1"/>
  <c r="W14" i="27"/>
  <c r="V30" i="10"/>
  <c r="P50" i="10"/>
  <c r="J6" i="3"/>
  <c r="K7" i="41" s="1"/>
  <c r="J7" i="3"/>
  <c r="AD27" i="10"/>
  <c r="AE11" i="27"/>
  <c r="AD26" i="8"/>
  <c r="X9" i="8"/>
  <c r="Y12" i="21"/>
  <c r="X10" i="10"/>
  <c r="W18" i="31"/>
  <c r="V40" i="10"/>
  <c r="E26" i="8"/>
  <c r="E27" i="10"/>
  <c r="F11" i="27"/>
  <c r="J14" i="23"/>
  <c r="I17" i="10"/>
  <c r="D44" i="10"/>
  <c r="E12" i="33"/>
  <c r="AA22" i="10"/>
  <c r="AA21" i="8"/>
  <c r="AB12" i="25"/>
  <c r="U14" i="33"/>
  <c r="AF45" i="10"/>
  <c r="AG13" i="33"/>
  <c r="Q12" i="27"/>
  <c r="P28" i="10"/>
  <c r="AF11" i="10"/>
  <c r="AI14" i="25"/>
  <c r="AH24" i="10"/>
  <c r="Y11" i="27"/>
  <c r="X27" i="10"/>
  <c r="X26" i="8"/>
  <c r="K45" i="10"/>
  <c r="L13" i="33"/>
  <c r="X54" i="10"/>
  <c r="AD13" i="27"/>
  <c r="AC29" i="10"/>
  <c r="S19" i="10"/>
  <c r="T16" i="23"/>
  <c r="R19" i="10"/>
  <c r="S16" i="23"/>
  <c r="G27" i="10"/>
  <c r="H11" i="27"/>
  <c r="G26" i="8"/>
  <c r="U16" i="10"/>
  <c r="V13" i="23"/>
  <c r="P13" i="21"/>
  <c r="O11" i="10"/>
  <c r="K14" i="27"/>
  <c r="J30" i="10"/>
  <c r="Q33" i="10"/>
  <c r="R11" i="31"/>
  <c r="Q32" i="8"/>
  <c r="AC12" i="27"/>
  <c r="AB28" i="10"/>
  <c r="Z15" i="23"/>
  <c r="Y18" i="10"/>
  <c r="AB6" i="6"/>
  <c r="AC8" i="41" s="1"/>
  <c r="AB7" i="6"/>
  <c r="G29" i="10"/>
  <c r="H13" i="27"/>
  <c r="J12" i="33"/>
  <c r="I44" i="10"/>
  <c r="L11" i="27"/>
  <c r="K26" i="8"/>
  <c r="K27" i="10"/>
  <c r="AA19" i="10"/>
  <c r="AB16" i="23"/>
  <c r="D10" i="10"/>
  <c r="E12" i="21"/>
  <c r="D9" i="8"/>
  <c r="Y49" i="10"/>
  <c r="Y48" i="8"/>
  <c r="E15" i="23"/>
  <c r="D18" i="10"/>
  <c r="D15" i="10"/>
  <c r="D14" i="8"/>
  <c r="E12" i="23"/>
  <c r="K23" i="10"/>
  <c r="L13" i="25"/>
  <c r="S12" i="23"/>
  <c r="R15" i="10"/>
  <c r="R14" i="8"/>
  <c r="F14" i="27"/>
  <c r="E30" i="10"/>
  <c r="AF6" i="6"/>
  <c r="AG8" i="41" s="1"/>
  <c r="AF7" i="6"/>
  <c r="I14" i="27"/>
  <c r="H30" i="10"/>
  <c r="M13" i="31"/>
  <c r="L35" i="10"/>
  <c r="AB13" i="21"/>
  <c r="AA11" i="10"/>
  <c r="F48" i="8"/>
  <c r="F49" i="10"/>
  <c r="AA15" i="23"/>
  <c r="Z18" i="10"/>
  <c r="W54" i="10"/>
  <c r="K14" i="23"/>
  <c r="J13" i="25"/>
  <c r="I23" i="10"/>
  <c r="H44" i="10"/>
  <c r="I12" i="33"/>
  <c r="AL16" i="10"/>
  <c r="AI16" i="10"/>
  <c r="D13" i="23"/>
  <c r="C16" i="10"/>
  <c r="AK16" i="10"/>
  <c r="AJ16" i="10"/>
  <c r="N40" i="10"/>
  <c r="O18" i="31"/>
  <c r="Y14" i="33"/>
  <c r="AE6" i="6"/>
  <c r="AF8" i="41" s="1"/>
  <c r="AE7" i="6"/>
  <c r="AG11" i="27"/>
  <c r="AF26" i="8"/>
  <c r="AF27" i="10"/>
  <c r="AG12" i="33"/>
  <c r="AF44" i="10"/>
  <c r="AG13" i="23"/>
  <c r="AF16" i="10"/>
  <c r="S14" i="8"/>
  <c r="S15" i="10"/>
  <c r="T12" i="23"/>
  <c r="D26" i="8"/>
  <c r="E11" i="27"/>
  <c r="D27" i="10"/>
  <c r="AF18" i="10"/>
  <c r="AG15" i="23"/>
  <c r="I19" i="8"/>
  <c r="K6" i="7"/>
  <c r="L9" i="41" s="1"/>
  <c r="V26" i="8"/>
  <c r="W11" i="27"/>
  <c r="V27" i="10"/>
  <c r="Q30" i="10"/>
  <c r="R14" i="27"/>
  <c r="I28" i="10"/>
  <c r="J12" i="27"/>
  <c r="I11" i="33"/>
  <c r="H43" i="10"/>
  <c r="H42" i="8"/>
  <c r="AA11" i="33"/>
  <c r="Z42" i="8"/>
  <c r="Z43" i="10"/>
  <c r="R12" i="21"/>
  <c r="Q10" i="10"/>
  <c r="Q9" i="8"/>
  <c r="M13" i="33"/>
  <c r="L45" i="10"/>
  <c r="AD23" i="10"/>
  <c r="AE13" i="25"/>
  <c r="Q12" i="25"/>
  <c r="P22" i="10"/>
  <c r="P21" i="8"/>
  <c r="AA7" i="7"/>
  <c r="I13" i="31"/>
  <c r="H35" i="10"/>
  <c r="Z13" i="23"/>
  <c r="Y16" i="10"/>
  <c r="AB14" i="23"/>
  <c r="AA17" i="10"/>
  <c r="U12" i="25"/>
  <c r="T21" i="8"/>
  <c r="T22" i="10"/>
  <c r="T50" i="10"/>
  <c r="AH15" i="10"/>
  <c r="AH14" i="8"/>
  <c r="AI12" i="23"/>
  <c r="AA16" i="23"/>
  <c r="Z19" i="10"/>
  <c r="M21" i="8"/>
  <c r="N12" i="25"/>
  <c r="M22" i="10"/>
  <c r="O11" i="31"/>
  <c r="N33" i="10"/>
  <c r="N32" i="8"/>
  <c r="AC19" i="10"/>
  <c r="K14" i="33"/>
  <c r="S14" i="33"/>
  <c r="J44" i="10"/>
  <c r="K12" i="33"/>
  <c r="AF13" i="27"/>
  <c r="AE29" i="10"/>
  <c r="E35" i="10"/>
  <c r="AL35" i="10"/>
  <c r="AK35" i="10"/>
  <c r="AJ35" i="10"/>
  <c r="C35" i="10"/>
  <c r="AI35" i="10"/>
  <c r="D13" i="31"/>
  <c r="G18" i="31"/>
  <c r="F40" i="10"/>
  <c r="Q51" i="10"/>
  <c r="AG18" i="10"/>
  <c r="AF14" i="21"/>
  <c r="AE12" i="10"/>
  <c r="AE35" i="10"/>
  <c r="D12" i="25"/>
  <c r="C22" i="10"/>
  <c r="C21" i="8"/>
  <c r="AK22" i="10"/>
  <c r="AI22" i="10"/>
  <c r="AL22" i="10"/>
  <c r="AJ22" i="10"/>
  <c r="J14" i="21"/>
  <c r="I12" i="10"/>
  <c r="G13" i="23"/>
  <c r="F16" i="10"/>
  <c r="AB14" i="27"/>
  <c r="AA30" i="10"/>
  <c r="K13" i="21"/>
  <c r="J11" i="10"/>
  <c r="H33" i="10"/>
  <c r="I11" i="31"/>
  <c r="H32" i="8"/>
  <c r="G30" i="10"/>
  <c r="H14" i="27"/>
  <c r="Z6" i="3"/>
  <c r="AA7" i="41" s="1"/>
  <c r="Z7" i="3"/>
  <c r="AE12" i="21"/>
  <c r="AD10" i="10"/>
  <c r="AD9" i="8"/>
  <c r="Q13" i="33"/>
  <c r="P45" i="10"/>
  <c r="M12" i="27"/>
  <c r="L28" i="10"/>
  <c r="G12" i="23"/>
  <c r="F14" i="8"/>
  <c r="F15" i="10"/>
  <c r="K6" i="6"/>
  <c r="L8" i="41" s="1"/>
  <c r="K7" i="6"/>
  <c r="O6" i="7"/>
  <c r="P9" i="41" s="1"/>
  <c r="O7" i="7"/>
  <c r="J12" i="23"/>
  <c r="I15" i="10"/>
  <c r="M44" i="10"/>
  <c r="N12" i="33"/>
  <c r="P13" i="27"/>
  <c r="O29" i="10"/>
  <c r="AC48" i="8"/>
  <c r="AC49" i="10"/>
  <c r="W14" i="23"/>
  <c r="V17" i="10"/>
  <c r="Q14" i="27"/>
  <c r="P30" i="10"/>
  <c r="O13" i="27"/>
  <c r="N29" i="10"/>
  <c r="V22" i="10"/>
  <c r="W12" i="25"/>
  <c r="V21" i="8"/>
  <c r="K11" i="33"/>
  <c r="J42" i="8"/>
  <c r="J43" i="10"/>
  <c r="D16" i="10"/>
  <c r="AG13" i="25"/>
  <c r="AF23" i="10"/>
  <c r="J13" i="21"/>
  <c r="I11" i="10"/>
  <c r="U14" i="23"/>
  <c r="T17" i="10"/>
  <c r="R11" i="10"/>
  <c r="Y7" i="7"/>
  <c r="Y6" i="7"/>
  <c r="Z9" i="41" s="1"/>
  <c r="H15" i="23"/>
  <c r="G18" i="10"/>
  <c r="R49" i="10"/>
  <c r="R48" i="8"/>
  <c r="AH14" i="25"/>
  <c r="AG24" i="10"/>
  <c r="M50" i="10"/>
  <c r="U48" i="8"/>
  <c r="U49" i="10"/>
  <c r="AE12" i="23"/>
  <c r="AD14" i="8"/>
  <c r="AD15" i="10"/>
  <c r="S54" i="10"/>
  <c r="X40" i="10"/>
  <c r="Y18" i="31"/>
  <c r="F13" i="27"/>
  <c r="E29" i="10"/>
  <c r="V14" i="25"/>
  <c r="U24" i="10"/>
  <c r="K30" i="10"/>
  <c r="L14" i="27"/>
  <c r="P12" i="25"/>
  <c r="O22" i="10"/>
  <c r="O21" i="8"/>
  <c r="Y14" i="25"/>
  <c r="X24" i="10"/>
  <c r="AB54" i="10"/>
  <c r="M49" i="10"/>
  <c r="M48" i="8"/>
  <c r="F17" i="10"/>
  <c r="M54" i="10"/>
  <c r="AH18" i="10"/>
  <c r="AI15" i="23"/>
  <c r="AH10" i="10"/>
  <c r="AH9" i="8"/>
  <c r="AI12" i="21"/>
  <c r="O17" i="10"/>
  <c r="P14" i="23"/>
  <c r="M11" i="10"/>
  <c r="N13" i="21"/>
  <c r="AA28" i="10"/>
  <c r="AB12" i="27"/>
  <c r="Z54" i="10"/>
  <c r="H16" i="10"/>
  <c r="AD42" i="8"/>
  <c r="AD43" i="10"/>
  <c r="AE11" i="33"/>
  <c r="Q43" i="10"/>
  <c r="R11" i="33"/>
  <c r="Q42" i="8"/>
  <c r="R14" i="33"/>
  <c r="P54" i="10"/>
  <c r="P7" i="7"/>
  <c r="AD12" i="23"/>
  <c r="AC15" i="10"/>
  <c r="AG13" i="27"/>
  <c r="AF29" i="10"/>
  <c r="U15" i="10"/>
  <c r="U14" i="8"/>
  <c r="V12" i="23"/>
  <c r="Y28" i="10"/>
  <c r="Z12" i="27"/>
  <c r="T24" i="10"/>
  <c r="U14" i="25"/>
  <c r="I24" i="10"/>
  <c r="F14" i="23"/>
  <c r="E17" i="10"/>
  <c r="F22" i="10"/>
  <c r="F21" i="8"/>
  <c r="G12" i="25"/>
  <c r="AJ44" i="10"/>
  <c r="C44" i="10"/>
  <c r="D12" i="33"/>
  <c r="AI44" i="10"/>
  <c r="AK44" i="10"/>
  <c r="AL44" i="10"/>
  <c r="AD17" i="10"/>
  <c r="P14" i="21"/>
  <c r="O12" i="10"/>
  <c r="P6" i="3"/>
  <c r="Q7" i="41" s="1"/>
  <c r="P7" i="3"/>
  <c r="AH11" i="33"/>
  <c r="AG43" i="10"/>
  <c r="AG42" i="8"/>
  <c r="AI11" i="31"/>
  <c r="AH32" i="8"/>
  <c r="AH33" i="10"/>
  <c r="F7" i="7"/>
  <c r="F6" i="7"/>
  <c r="G9" i="41" s="1"/>
  <c r="AA14" i="25"/>
  <c r="Z24" i="10"/>
  <c r="P14" i="27"/>
  <c r="O30" i="10"/>
  <c r="G13" i="27"/>
  <c r="F29" i="10"/>
  <c r="E16" i="23"/>
  <c r="D19" i="10"/>
  <c r="L19" i="10"/>
  <c r="M16" i="23"/>
  <c r="AC17" i="10"/>
  <c r="AD14" i="23"/>
  <c r="S9" i="8"/>
  <c r="T12" i="21"/>
  <c r="S10" i="10"/>
  <c r="AF48" i="8"/>
  <c r="AF49" i="10"/>
  <c r="K22" i="10"/>
  <c r="L12" i="25"/>
  <c r="K21" i="8"/>
  <c r="AE14" i="8"/>
  <c r="AE15" i="10"/>
  <c r="AF12" i="23"/>
  <c r="X14" i="23"/>
  <c r="W17" i="10"/>
  <c r="J6" i="6"/>
  <c r="K8" i="41" s="1"/>
  <c r="J7" i="6"/>
  <c r="V12" i="21"/>
  <c r="U10" i="10"/>
  <c r="U9" i="8"/>
  <c r="I26" i="8"/>
  <c r="J11" i="27"/>
  <c r="I27" i="10"/>
  <c r="Q18" i="10"/>
  <c r="R15" i="23"/>
  <c r="Q14" i="25"/>
  <c r="P24" i="10"/>
  <c r="F13" i="25"/>
  <c r="E23" i="10"/>
  <c r="D12" i="10"/>
  <c r="E14" i="21"/>
  <c r="M12" i="21"/>
  <c r="L9" i="8"/>
  <c r="L10" i="10"/>
  <c r="AA7" i="3"/>
  <c r="AA6" i="3"/>
  <c r="AB7" i="41" s="1"/>
  <c r="X49" i="10"/>
  <c r="X48" i="8"/>
  <c r="K54" i="10"/>
  <c r="R14" i="25"/>
  <c r="Q24" i="10"/>
  <c r="AF12" i="25"/>
  <c r="AE21" i="8"/>
  <c r="AE22" i="10"/>
  <c r="T27" i="10"/>
  <c r="U11" i="27"/>
  <c r="T26" i="8"/>
  <c r="AF13" i="23"/>
  <c r="AE16" i="10"/>
  <c r="E6" i="6"/>
  <c r="F8" i="41" s="1"/>
  <c r="E7" i="6"/>
  <c r="K14" i="21"/>
  <c r="J12" i="10"/>
  <c r="AE14" i="27"/>
  <c r="AD30" i="10"/>
  <c r="M12" i="25"/>
  <c r="L21" i="8"/>
  <c r="L22" i="10"/>
  <c r="AI13" i="27"/>
  <c r="AH29" i="10"/>
  <c r="T6" i="6"/>
  <c r="U8" i="41" s="1"/>
  <c r="T7" i="6"/>
  <c r="AA14" i="8"/>
  <c r="AA15" i="10"/>
  <c r="AB12" i="23"/>
  <c r="U12" i="27"/>
  <c r="T28" i="10"/>
  <c r="X16" i="10"/>
  <c r="AH7" i="3"/>
  <c r="AH6" i="3"/>
  <c r="AI7" i="41" s="1"/>
  <c r="H6" i="3"/>
  <c r="I7" i="41" s="1"/>
  <c r="H7" i="3"/>
  <c r="N43" i="10"/>
  <c r="O11" i="33"/>
  <c r="N42" i="8"/>
  <c r="W7" i="6"/>
  <c r="Q22" i="10"/>
  <c r="R12" i="25"/>
  <c r="Q21" i="8"/>
  <c r="O44" i="10"/>
  <c r="P12" i="33"/>
  <c r="Q14" i="33"/>
  <c r="L15" i="23"/>
  <c r="K18" i="10"/>
  <c r="I7" i="6"/>
  <c r="I6" i="6"/>
  <c r="J8" i="41" s="1"/>
  <c r="AE16" i="23"/>
  <c r="AD19" i="10"/>
  <c r="L50" i="10"/>
  <c r="U18" i="31"/>
  <c r="T40" i="10"/>
  <c r="Z14" i="21"/>
  <c r="Y12" i="10"/>
  <c r="C32" i="8"/>
  <c r="AJ33" i="10"/>
  <c r="AI33" i="10"/>
  <c r="C33" i="10"/>
  <c r="D11" i="31"/>
  <c r="AL33" i="10"/>
  <c r="AK33" i="10"/>
  <c r="AG14" i="25"/>
  <c r="AF24" i="10"/>
  <c r="Q12" i="21"/>
  <c r="P9" i="8"/>
  <c r="P10" i="10"/>
  <c r="AE14" i="25"/>
  <c r="AD24" i="10"/>
  <c r="Y12" i="23"/>
  <c r="X15" i="10"/>
  <c r="X14" i="8"/>
  <c r="AA49" i="10"/>
  <c r="AA48" i="8"/>
  <c r="Z18" i="31"/>
  <c r="Y40" i="10"/>
  <c r="M14" i="23"/>
  <c r="L17" i="10"/>
  <c r="O15" i="23"/>
  <c r="N18" i="10"/>
  <c r="K16" i="23"/>
  <c r="J19" i="10"/>
  <c r="AF6" i="7"/>
  <c r="AG9" i="41" s="1"/>
  <c r="AF7" i="7"/>
  <c r="G11" i="27"/>
  <c r="F27" i="10"/>
  <c r="F26" i="8"/>
  <c r="AH13" i="31"/>
  <c r="AG35" i="10"/>
  <c r="N16" i="23"/>
  <c r="M19" i="10"/>
  <c r="V13" i="33"/>
  <c r="U45" i="10"/>
  <c r="S17" i="10"/>
  <c r="P12" i="21"/>
  <c r="O9" i="8"/>
  <c r="O10" i="10"/>
  <c r="T15" i="10"/>
  <c r="T14" i="8"/>
  <c r="U12" i="23"/>
  <c r="W49" i="10"/>
  <c r="W48" i="8"/>
  <c r="D49" i="10"/>
  <c r="D48" i="8"/>
  <c r="AG7" i="3"/>
  <c r="AG6" i="3"/>
  <c r="AH7" i="41" s="1"/>
  <c r="Y54" i="10"/>
  <c r="W15" i="10"/>
  <c r="X12" i="23"/>
  <c r="AA14" i="23"/>
  <c r="Z17" i="10"/>
  <c r="H9" i="8"/>
  <c r="H10" i="10"/>
  <c r="I12" i="21"/>
  <c r="AC22" i="10"/>
  <c r="AD12" i="25"/>
  <c r="AC21" i="8"/>
  <c r="AA11" i="27"/>
  <c r="Z26" i="8"/>
  <c r="Z27" i="10"/>
  <c r="AG15" i="10"/>
  <c r="AH12" i="23"/>
  <c r="AG14" i="8"/>
  <c r="Z28" i="10"/>
  <c r="AA12" i="27"/>
  <c r="AD11" i="27"/>
  <c r="AC27" i="10"/>
  <c r="AC26" i="8"/>
  <c r="M24" i="10"/>
  <c r="N14" i="25"/>
  <c r="E13" i="21"/>
  <c r="D11" i="10"/>
  <c r="L26" i="8"/>
  <c r="M11" i="27"/>
  <c r="L27" i="10"/>
  <c r="Z16" i="10"/>
  <c r="AA13" i="23"/>
  <c r="K12" i="25"/>
  <c r="J22" i="10"/>
  <c r="J21" i="8"/>
  <c r="O27" i="10"/>
  <c r="O26" i="8"/>
  <c r="P11" i="27"/>
  <c r="G13" i="21"/>
  <c r="F11" i="10"/>
  <c r="W13" i="23"/>
  <c r="V16" i="10"/>
  <c r="Y19" i="10"/>
  <c r="Z16" i="23"/>
  <c r="O14" i="27"/>
  <c r="N30" i="10"/>
  <c r="AB18" i="31"/>
  <c r="AA40" i="10"/>
  <c r="U14" i="7"/>
  <c r="G33" i="10"/>
  <c r="G32" i="8"/>
  <c r="H11" i="31"/>
  <c r="AE6" i="7"/>
  <c r="AF9" i="41" s="1"/>
  <c r="AE7" i="7"/>
  <c r="T13" i="21"/>
  <c r="S11" i="10"/>
  <c r="AD16" i="10"/>
  <c r="AE13" i="23"/>
  <c r="X32" i="8"/>
  <c r="Y11" i="31"/>
  <c r="X33" i="10"/>
  <c r="AD54" i="10"/>
  <c r="AC44" i="10"/>
  <c r="J16" i="10"/>
  <c r="J6" i="7"/>
  <c r="K9" i="41" s="1"/>
  <c r="I16" i="10"/>
  <c r="W10" i="10"/>
  <c r="W9" i="8"/>
  <c r="X12" i="21"/>
  <c r="U16" i="23"/>
  <c r="T19" i="10"/>
  <c r="AA11" i="31"/>
  <c r="Z33" i="10"/>
  <c r="Z32" i="8"/>
  <c r="AJ15" i="10"/>
  <c r="C15" i="10"/>
  <c r="C14" i="8"/>
  <c r="AI15" i="10"/>
  <c r="AL15" i="10"/>
  <c r="D12" i="23"/>
  <c r="AK15" i="10"/>
  <c r="Y26" i="8"/>
  <c r="Z11" i="27"/>
  <c r="Y27" i="10"/>
  <c r="F12" i="25"/>
  <c r="E22" i="10"/>
  <c r="E21" i="8"/>
  <c r="Q11" i="31"/>
  <c r="P33" i="10"/>
  <c r="P32" i="8"/>
  <c r="AA13" i="31"/>
  <c r="Z35" i="10"/>
  <c r="V13" i="27"/>
  <c r="U29" i="10"/>
  <c r="S6" i="3"/>
  <c r="T7" i="41" s="1"/>
  <c r="S7" i="3"/>
  <c r="S48" i="8"/>
  <c r="S49" i="10"/>
  <c r="O15" i="10"/>
  <c r="O14" i="8"/>
  <c r="P12" i="23"/>
  <c r="O6" i="3"/>
  <c r="P7" i="41" s="1"/>
  <c r="O7" i="3"/>
  <c r="P13" i="23"/>
  <c r="O16" i="10"/>
  <c r="AB14" i="33"/>
  <c r="H54" i="10"/>
  <c r="AG9" i="8"/>
  <c r="AG10" i="10"/>
  <c r="AH12" i="21"/>
  <c r="E19" i="10"/>
  <c r="F16" i="23"/>
  <c r="AG49" i="10"/>
  <c r="AG48" i="8"/>
  <c r="V12" i="33"/>
  <c r="U44" i="10"/>
  <c r="V54" i="10"/>
  <c r="AB26" i="8"/>
  <c r="AC11" i="27"/>
  <c r="AB27" i="10"/>
  <c r="J12" i="21"/>
  <c r="I9" i="8"/>
  <c r="I10" i="10"/>
  <c r="AG13" i="31"/>
  <c r="AF35" i="10"/>
  <c r="V12" i="10"/>
  <c r="W14" i="21"/>
  <c r="AD11" i="31"/>
  <c r="AC33" i="10"/>
  <c r="AC32" i="8"/>
  <c r="AH54" i="10"/>
  <c r="Q28" i="10"/>
  <c r="R12" i="27"/>
  <c r="AD22" i="10"/>
  <c r="AE12" i="25"/>
  <c r="AD21" i="8"/>
  <c r="AF33" i="10"/>
  <c r="AG11" i="31"/>
  <c r="AF32" i="8"/>
  <c r="N13" i="25"/>
  <c r="M23" i="10"/>
  <c r="S28" i="10"/>
  <c r="T12" i="27"/>
  <c r="O50" i="10"/>
  <c r="P40" i="10"/>
  <c r="Q18" i="31"/>
  <c r="Q35" i="10"/>
  <c r="L49" i="10"/>
  <c r="L48" i="8"/>
  <c r="I12" i="23"/>
  <c r="H15" i="10"/>
  <c r="H14" i="8"/>
  <c r="N44" i="10"/>
  <c r="D17" i="10"/>
  <c r="AG12" i="23"/>
  <c r="AF14" i="8"/>
  <c r="AF15" i="10"/>
  <c r="K11" i="27"/>
  <c r="J27" i="10"/>
  <c r="J26" i="8"/>
  <c r="W6" i="3"/>
  <c r="X7" i="41" s="1"/>
  <c r="W7" i="3"/>
  <c r="AF16" i="23"/>
  <c r="AE19" i="10"/>
  <c r="P19" i="10"/>
  <c r="Q16" i="23"/>
  <c r="AD16" i="23" l="1"/>
  <c r="S6" i="7"/>
  <c r="T9" i="41" s="1"/>
  <c r="R7" i="7"/>
  <c r="AF48" i="10"/>
  <c r="T48" i="10"/>
  <c r="V17" i="41"/>
  <c r="V19" i="31"/>
  <c r="V16" i="14"/>
  <c r="V14" i="12"/>
  <c r="U32" i="10"/>
  <c r="E14" i="10"/>
  <c r="F13" i="14"/>
  <c r="F17" i="23"/>
  <c r="F14" i="41"/>
  <c r="F30" i="41"/>
  <c r="F11" i="12"/>
  <c r="G19" i="31"/>
  <c r="G16" i="14"/>
  <c r="G14" i="12"/>
  <c r="G17" i="41"/>
  <c r="F32" i="10"/>
  <c r="U7" i="7"/>
  <c r="U6" i="7"/>
  <c r="V9" i="41" s="1"/>
  <c r="X7" i="8"/>
  <c r="X9" i="10"/>
  <c r="Y12" i="14"/>
  <c r="Y23" i="41"/>
  <c r="Y15" i="21"/>
  <c r="X6" i="8"/>
  <c r="X42" i="9" s="1"/>
  <c r="Y13" i="41"/>
  <c r="Y10" i="12"/>
  <c r="K12" i="14"/>
  <c r="J6" i="8"/>
  <c r="J21" i="9" s="1"/>
  <c r="K15" i="21"/>
  <c r="K13" i="41"/>
  <c r="K23" i="41"/>
  <c r="J7" i="8"/>
  <c r="K10" i="12"/>
  <c r="J9" i="10"/>
  <c r="AH16" i="41"/>
  <c r="AH15" i="27"/>
  <c r="AH15" i="14"/>
  <c r="AH13" i="12"/>
  <c r="AG26" i="10"/>
  <c r="Y15" i="12"/>
  <c r="Y17" i="14"/>
  <c r="Y15" i="33"/>
  <c r="Y18" i="41"/>
  <c r="X42" i="10"/>
  <c r="Q15" i="12"/>
  <c r="Q18" i="41"/>
  <c r="P42" i="10"/>
  <c r="Q17" i="14"/>
  <c r="Q15" i="33"/>
  <c r="Q15" i="14"/>
  <c r="P26" i="10"/>
  <c r="Q13" i="12"/>
  <c r="Q15" i="27"/>
  <c r="Q16" i="41"/>
  <c r="Z48" i="10"/>
  <c r="K14" i="10"/>
  <c r="L11" i="12"/>
  <c r="L30" i="41"/>
  <c r="L17" i="23"/>
  <c r="L13" i="14"/>
  <c r="L14" i="41"/>
  <c r="AH17" i="23"/>
  <c r="AH14" i="41"/>
  <c r="AH30" i="41"/>
  <c r="AH13" i="14"/>
  <c r="AG14" i="10"/>
  <c r="AH11" i="12"/>
  <c r="G15" i="25"/>
  <c r="G15" i="41"/>
  <c r="G12" i="12"/>
  <c r="G36" i="41"/>
  <c r="G14" i="14"/>
  <c r="F21" i="10"/>
  <c r="J16" i="23"/>
  <c r="I19" i="10"/>
  <c r="W30" i="41"/>
  <c r="W17" i="23"/>
  <c r="W13" i="14"/>
  <c r="W11" i="12"/>
  <c r="V14" i="10"/>
  <c r="W14" i="41"/>
  <c r="M9" i="10"/>
  <c r="N10" i="12"/>
  <c r="N15" i="21"/>
  <c r="N23" i="41"/>
  <c r="N13" i="41"/>
  <c r="N12" i="14"/>
  <c r="M6" i="8"/>
  <c r="M9" i="9" s="1"/>
  <c r="G48" i="10"/>
  <c r="Z19" i="31"/>
  <c r="Z17" i="41"/>
  <c r="Y32" i="10"/>
  <c r="Z16" i="14"/>
  <c r="Z14" i="12"/>
  <c r="N15" i="27"/>
  <c r="N16" i="41"/>
  <c r="N15" i="14"/>
  <c r="N13" i="12"/>
  <c r="M26" i="10"/>
  <c r="Q15" i="21"/>
  <c r="P7" i="8"/>
  <c r="P6" i="8"/>
  <c r="P21" i="9" s="1"/>
  <c r="Q10" i="12"/>
  <c r="Q13" i="41"/>
  <c r="Q23" i="41"/>
  <c r="P9" i="10"/>
  <c r="Q12" i="14"/>
  <c r="D19" i="31"/>
  <c r="C32" i="10"/>
  <c r="D17" i="41"/>
  <c r="AK32" i="10"/>
  <c r="AI32" i="10"/>
  <c r="D14" i="12"/>
  <c r="AL32" i="10"/>
  <c r="AJ32" i="10"/>
  <c r="D16" i="14"/>
  <c r="AH32" i="10"/>
  <c r="AI16" i="14"/>
  <c r="AI19" i="31"/>
  <c r="AI14" i="12"/>
  <c r="AI17" i="41"/>
  <c r="W12" i="12"/>
  <c r="W15" i="25"/>
  <c r="W14" i="14"/>
  <c r="W36" i="41"/>
  <c r="W15" i="41"/>
  <c r="V21" i="10"/>
  <c r="H32" i="10"/>
  <c r="I16" i="14"/>
  <c r="I14" i="12"/>
  <c r="I17" i="41"/>
  <c r="I19" i="31"/>
  <c r="N15" i="25"/>
  <c r="N14" i="14"/>
  <c r="N15" i="41"/>
  <c r="N12" i="12"/>
  <c r="M21" i="10"/>
  <c r="N36" i="41"/>
  <c r="Q12" i="12"/>
  <c r="Q14" i="14"/>
  <c r="Q15" i="41"/>
  <c r="Q36" i="41"/>
  <c r="P21" i="10"/>
  <c r="Q15" i="25"/>
  <c r="K16" i="41"/>
  <c r="K15" i="14"/>
  <c r="K15" i="27"/>
  <c r="J26" i="10"/>
  <c r="K13" i="12"/>
  <c r="AG48" i="10"/>
  <c r="F15" i="25"/>
  <c r="E21" i="10"/>
  <c r="F15" i="41"/>
  <c r="F14" i="14"/>
  <c r="F36" i="41"/>
  <c r="F12" i="12"/>
  <c r="D13" i="14"/>
  <c r="AK14" i="10"/>
  <c r="D11" i="12"/>
  <c r="AL14" i="10"/>
  <c r="D30" i="41"/>
  <c r="AI14" i="10"/>
  <c r="C14" i="10"/>
  <c r="AJ14" i="10"/>
  <c r="D14" i="41"/>
  <c r="D17" i="23"/>
  <c r="W7" i="8"/>
  <c r="X10" i="12"/>
  <c r="X23" i="41"/>
  <c r="W6" i="8"/>
  <c r="W21" i="9" s="1"/>
  <c r="X12" i="14"/>
  <c r="X15" i="21"/>
  <c r="W9" i="10"/>
  <c r="X13" i="41"/>
  <c r="AA48" i="10"/>
  <c r="S7" i="8"/>
  <c r="T10" i="12"/>
  <c r="T15" i="21"/>
  <c r="T12" i="14"/>
  <c r="S6" i="8"/>
  <c r="S21" i="9" s="1"/>
  <c r="T13" i="41"/>
  <c r="S9" i="10"/>
  <c r="T23" i="41"/>
  <c r="R15" i="33"/>
  <c r="R15" i="12"/>
  <c r="R18" i="41"/>
  <c r="Q42" i="10"/>
  <c r="R17" i="14"/>
  <c r="R48" i="10"/>
  <c r="AC48" i="10"/>
  <c r="Y13" i="12"/>
  <c r="Y15" i="27"/>
  <c r="Y15" i="14"/>
  <c r="Y16" i="41"/>
  <c r="X26" i="10"/>
  <c r="V15" i="12"/>
  <c r="V17" i="14"/>
  <c r="V18" i="41"/>
  <c r="V15" i="33"/>
  <c r="U42" i="10"/>
  <c r="E42" i="10"/>
  <c r="F15" i="12"/>
  <c r="F18" i="41"/>
  <c r="F15" i="33"/>
  <c r="F17" i="14"/>
  <c r="M19" i="31"/>
  <c r="M17" i="41"/>
  <c r="M16" i="14"/>
  <c r="L32" i="10"/>
  <c r="M14" i="12"/>
  <c r="O15" i="14"/>
  <c r="O16" i="41"/>
  <c r="O15" i="27"/>
  <c r="O13" i="12"/>
  <c r="N26" i="10"/>
  <c r="H48" i="10"/>
  <c r="I11" i="12"/>
  <c r="H14" i="10"/>
  <c r="I30" i="41"/>
  <c r="I14" i="41"/>
  <c r="I13" i="14"/>
  <c r="I17" i="23"/>
  <c r="S48" i="10"/>
  <c r="W48" i="10"/>
  <c r="P15" i="25"/>
  <c r="P14" i="14"/>
  <c r="P12" i="12"/>
  <c r="O21" i="10"/>
  <c r="P15" i="41"/>
  <c r="P36" i="41"/>
  <c r="X13" i="14"/>
  <c r="X11" i="12"/>
  <c r="X17" i="23"/>
  <c r="W14" i="10"/>
  <c r="X30" i="41"/>
  <c r="X14" i="41"/>
  <c r="AA16" i="41"/>
  <c r="AA15" i="27"/>
  <c r="AA13" i="12"/>
  <c r="Z26" i="10"/>
  <c r="AA15" i="14"/>
  <c r="L13" i="12"/>
  <c r="L16" i="41"/>
  <c r="L15" i="14"/>
  <c r="K26" i="10"/>
  <c r="L15" i="27"/>
  <c r="AD15" i="33"/>
  <c r="AC42" i="10"/>
  <c r="AD17" i="14"/>
  <c r="AD15" i="12"/>
  <c r="AD18" i="41"/>
  <c r="X15" i="25"/>
  <c r="X14" i="14"/>
  <c r="X12" i="12"/>
  <c r="X36" i="41"/>
  <c r="X15" i="41"/>
  <c r="W21" i="10"/>
  <c r="AE48" i="10"/>
  <c r="AF21" i="10"/>
  <c r="AG15" i="41"/>
  <c r="AG12" i="12"/>
  <c r="AG14" i="14"/>
  <c r="AG36" i="41"/>
  <c r="AG15" i="25"/>
  <c r="Q30" i="41"/>
  <c r="Q13" i="14"/>
  <c r="Q11" i="12"/>
  <c r="Q14" i="41"/>
  <c r="P14" i="10"/>
  <c r="Q17" i="23"/>
  <c r="AC14" i="12"/>
  <c r="AC19" i="31"/>
  <c r="AC17" i="41"/>
  <c r="AB32" i="10"/>
  <c r="AC16" i="14"/>
  <c r="K9" i="10"/>
  <c r="K6" i="8"/>
  <c r="K14" i="9" s="1"/>
  <c r="L15" i="21"/>
  <c r="L23" i="41"/>
  <c r="L13" i="41"/>
  <c r="K7" i="8"/>
  <c r="L12" i="14"/>
  <c r="L10" i="12"/>
  <c r="O13" i="41"/>
  <c r="N9" i="10"/>
  <c r="O15" i="21"/>
  <c r="N6" i="8"/>
  <c r="N26" i="9" s="1"/>
  <c r="O10" i="12"/>
  <c r="O23" i="41"/>
  <c r="N7" i="8"/>
  <c r="O12" i="14"/>
  <c r="U17" i="41"/>
  <c r="U16" i="14"/>
  <c r="T32" i="10"/>
  <c r="U14" i="12"/>
  <c r="U19" i="31"/>
  <c r="K15" i="41"/>
  <c r="J21" i="10"/>
  <c r="K14" i="14"/>
  <c r="K12" i="12"/>
  <c r="K36" i="41"/>
  <c r="K15" i="25"/>
  <c r="Y19" i="31"/>
  <c r="Y16" i="14"/>
  <c r="Y14" i="12"/>
  <c r="X32" i="10"/>
  <c r="Y17" i="41"/>
  <c r="X32" i="9"/>
  <c r="I13" i="41"/>
  <c r="I23" i="41"/>
  <c r="I15" i="21"/>
  <c r="I10" i="12"/>
  <c r="H6" i="8"/>
  <c r="H9" i="9" s="1"/>
  <c r="H7" i="8"/>
  <c r="H9" i="10"/>
  <c r="I12" i="14"/>
  <c r="I14" i="8"/>
  <c r="I7" i="8" s="1"/>
  <c r="K42" i="10"/>
  <c r="L18" i="41"/>
  <c r="L17" i="14"/>
  <c r="L15" i="12"/>
  <c r="L15" i="33"/>
  <c r="AE26" i="10"/>
  <c r="AF15" i="27"/>
  <c r="AF16" i="41"/>
  <c r="AF13" i="12"/>
  <c r="AF15" i="14"/>
  <c r="AD15" i="27"/>
  <c r="AC26" i="10"/>
  <c r="AD16" i="41"/>
  <c r="AD13" i="12"/>
  <c r="AD15" i="14"/>
  <c r="M15" i="25"/>
  <c r="L21" i="10"/>
  <c r="M12" i="12"/>
  <c r="M36" i="41"/>
  <c r="M15" i="41"/>
  <c r="M14" i="14"/>
  <c r="M7" i="8"/>
  <c r="N11" i="12"/>
  <c r="N13" i="14"/>
  <c r="N14" i="41"/>
  <c r="M14" i="10"/>
  <c r="N30" i="41"/>
  <c r="N17" i="23"/>
  <c r="U11" i="12"/>
  <c r="U14" i="41"/>
  <c r="U30" i="41"/>
  <c r="U17" i="23"/>
  <c r="T14" i="10"/>
  <c r="U13" i="14"/>
  <c r="X48" i="10"/>
  <c r="AF30" i="41"/>
  <c r="AF17" i="23"/>
  <c r="AF13" i="14"/>
  <c r="AF11" i="12"/>
  <c r="AF14" i="41"/>
  <c r="AE14" i="10"/>
  <c r="AG42" i="10"/>
  <c r="AH18" i="41"/>
  <c r="AH15" i="33"/>
  <c r="AH17" i="14"/>
  <c r="AH15" i="12"/>
  <c r="AD7" i="8"/>
  <c r="AE12" i="14"/>
  <c r="AE15" i="21"/>
  <c r="AE13" i="41"/>
  <c r="AE23" i="41"/>
  <c r="AE10" i="12"/>
  <c r="AD9" i="10"/>
  <c r="AD6" i="8"/>
  <c r="AD9" i="9" s="1"/>
  <c r="AA15" i="12"/>
  <c r="AA15" i="33"/>
  <c r="AA18" i="41"/>
  <c r="AA17" i="14"/>
  <c r="Z42" i="10"/>
  <c r="Y48" i="10"/>
  <c r="N48" i="10"/>
  <c r="H13" i="41"/>
  <c r="H23" i="41"/>
  <c r="G9" i="10"/>
  <c r="H15" i="21"/>
  <c r="G7" i="8"/>
  <c r="G6" i="8"/>
  <c r="G32" i="9" s="1"/>
  <c r="H10" i="12"/>
  <c r="H12" i="14"/>
  <c r="AA36" i="41"/>
  <c r="AA15" i="41"/>
  <c r="AA14" i="14"/>
  <c r="AA15" i="25"/>
  <c r="AA12" i="12"/>
  <c r="Z21" i="10"/>
  <c r="R15" i="27"/>
  <c r="R15" i="14"/>
  <c r="R16" i="41"/>
  <c r="R13" i="12"/>
  <c r="Q26" i="10"/>
  <c r="E48" i="10"/>
  <c r="J48" i="10"/>
  <c r="K48" i="10"/>
  <c r="S18" i="41"/>
  <c r="S15" i="33"/>
  <c r="S15" i="12"/>
  <c r="S17" i="14"/>
  <c r="R42" i="10"/>
  <c r="Z12" i="12"/>
  <c r="Z15" i="25"/>
  <c r="Z15" i="41"/>
  <c r="Z36" i="41"/>
  <c r="Y21" i="10"/>
  <c r="Z14" i="14"/>
  <c r="G14" i="10"/>
  <c r="H30" i="41"/>
  <c r="H11" i="12"/>
  <c r="H17" i="23"/>
  <c r="H14" i="41"/>
  <c r="H13" i="14"/>
  <c r="O36" i="41"/>
  <c r="N21" i="10"/>
  <c r="O12" i="12"/>
  <c r="O15" i="41"/>
  <c r="O15" i="25"/>
  <c r="O14" i="14"/>
  <c r="R36" i="41"/>
  <c r="R14" i="14"/>
  <c r="Q21" i="10"/>
  <c r="R15" i="25"/>
  <c r="R12" i="12"/>
  <c r="R15" i="41"/>
  <c r="L48" i="10"/>
  <c r="J13" i="12"/>
  <c r="J16" i="41"/>
  <c r="J15" i="27"/>
  <c r="J15" i="14"/>
  <c r="I26" i="10"/>
  <c r="AE9" i="10"/>
  <c r="AF15" i="21"/>
  <c r="AE6" i="8"/>
  <c r="AF12" i="14"/>
  <c r="AF13" i="41"/>
  <c r="AE7" i="8"/>
  <c r="AF23" i="41"/>
  <c r="AF10" i="12"/>
  <c r="Q48" i="10"/>
  <c r="AG16" i="14"/>
  <c r="AF32" i="10"/>
  <c r="AG14" i="12"/>
  <c r="AG19" i="31"/>
  <c r="AG17" i="41"/>
  <c r="X14" i="10"/>
  <c r="Y30" i="41"/>
  <c r="Y14" i="41"/>
  <c r="Y17" i="23"/>
  <c r="Y13" i="14"/>
  <c r="Y11" i="12"/>
  <c r="X14" i="9"/>
  <c r="N42" i="10"/>
  <c r="O15" i="12"/>
  <c r="O18" i="41"/>
  <c r="O17" i="14"/>
  <c r="O15" i="33"/>
  <c r="T26" i="10"/>
  <c r="U15" i="27"/>
  <c r="U15" i="14"/>
  <c r="U16" i="41"/>
  <c r="U13" i="12"/>
  <c r="V10" i="12"/>
  <c r="U7" i="8"/>
  <c r="V15" i="21"/>
  <c r="V23" i="41"/>
  <c r="V13" i="41"/>
  <c r="U6" i="8"/>
  <c r="U21" i="9" s="1"/>
  <c r="U9" i="10"/>
  <c r="V12" i="14"/>
  <c r="M48" i="10"/>
  <c r="E15" i="14"/>
  <c r="E15" i="27"/>
  <c r="E13" i="12"/>
  <c r="E16" i="41"/>
  <c r="D26" i="10"/>
  <c r="AH48" i="10"/>
  <c r="W15" i="33"/>
  <c r="W17" i="14"/>
  <c r="W18" i="41"/>
  <c r="W15" i="12"/>
  <c r="V42" i="10"/>
  <c r="S15" i="27"/>
  <c r="S15" i="14"/>
  <c r="S13" i="12"/>
  <c r="S16" i="41"/>
  <c r="R26" i="10"/>
  <c r="AB16" i="14"/>
  <c r="AA32" i="10"/>
  <c r="AB17" i="41"/>
  <c r="AB19" i="31"/>
  <c r="AB14" i="12"/>
  <c r="AC15" i="25"/>
  <c r="AC36" i="41"/>
  <c r="AB21" i="10"/>
  <c r="AC15" i="41"/>
  <c r="AC12" i="12"/>
  <c r="AC14" i="14"/>
  <c r="O42" i="10"/>
  <c r="P15" i="12"/>
  <c r="P17" i="14"/>
  <c r="P18" i="41"/>
  <c r="P15" i="33"/>
  <c r="AG15" i="33"/>
  <c r="AF42" i="10"/>
  <c r="AG18" i="41"/>
  <c r="AG17" i="14"/>
  <c r="AG15" i="12"/>
  <c r="S15" i="41"/>
  <c r="S12" i="12"/>
  <c r="S15" i="25"/>
  <c r="S14" i="14"/>
  <c r="S36" i="41"/>
  <c r="R21" i="10"/>
  <c r="G17" i="14"/>
  <c r="G18" i="41"/>
  <c r="G15" i="12"/>
  <c r="F42" i="10"/>
  <c r="G15" i="33"/>
  <c r="AH15" i="25"/>
  <c r="AH12" i="12"/>
  <c r="AH15" i="41"/>
  <c r="AG21" i="10"/>
  <c r="AH36" i="41"/>
  <c r="AH14" i="14"/>
  <c r="K17" i="41"/>
  <c r="K16" i="14"/>
  <c r="K19" i="31"/>
  <c r="J32" i="10"/>
  <c r="K14" i="12"/>
  <c r="J32" i="9"/>
  <c r="AF14" i="12"/>
  <c r="AE32" i="10"/>
  <c r="AF17" i="41"/>
  <c r="AF16" i="14"/>
  <c r="AF19" i="31"/>
  <c r="D48" i="10"/>
  <c r="AE21" i="10"/>
  <c r="AF15" i="41"/>
  <c r="AF15" i="25"/>
  <c r="AF12" i="12"/>
  <c r="AF36" i="41"/>
  <c r="AF14" i="14"/>
  <c r="H14" i="12"/>
  <c r="H17" i="41"/>
  <c r="G32" i="10"/>
  <c r="H16" i="14"/>
  <c r="H19" i="31"/>
  <c r="V11" i="12"/>
  <c r="V17" i="23"/>
  <c r="V13" i="14"/>
  <c r="V30" i="41"/>
  <c r="V14" i="41"/>
  <c r="U14" i="10"/>
  <c r="U14" i="14"/>
  <c r="U12" i="12"/>
  <c r="U15" i="25"/>
  <c r="T21" i="10"/>
  <c r="U36" i="41"/>
  <c r="U15" i="41"/>
  <c r="X15" i="33"/>
  <c r="X18" i="41"/>
  <c r="X17" i="14"/>
  <c r="X15" i="12"/>
  <c r="W42" i="10"/>
  <c r="W42" i="9"/>
  <c r="X14" i="12"/>
  <c r="W32" i="10"/>
  <c r="X17" i="41"/>
  <c r="X16" i="14"/>
  <c r="X19" i="31"/>
  <c r="AC10" i="12"/>
  <c r="AB6" i="8"/>
  <c r="AB7" i="8"/>
  <c r="AC13" i="41"/>
  <c r="AC23" i="41"/>
  <c r="AC15" i="21"/>
  <c r="AC12" i="14"/>
  <c r="AB9" i="10"/>
  <c r="AB9" i="9"/>
  <c r="S14" i="41"/>
  <c r="S13" i="14"/>
  <c r="S30" i="41"/>
  <c r="R14" i="10"/>
  <c r="S17" i="23"/>
  <c r="S11" i="12"/>
  <c r="AE15" i="27"/>
  <c r="AE16" i="41"/>
  <c r="AD26" i="10"/>
  <c r="AE13" i="12"/>
  <c r="AE15" i="14"/>
  <c r="W13" i="41"/>
  <c r="W23" i="41"/>
  <c r="W10" i="12"/>
  <c r="W12" i="14"/>
  <c r="V6" i="8"/>
  <c r="V26" i="9" s="1"/>
  <c r="V7" i="8"/>
  <c r="V9" i="10"/>
  <c r="W15" i="21"/>
  <c r="J23" i="41"/>
  <c r="J13" i="41"/>
  <c r="J15" i="21"/>
  <c r="J10" i="12"/>
  <c r="J12" i="14"/>
  <c r="I9" i="10"/>
  <c r="AC32" i="10"/>
  <c r="AD14" i="12"/>
  <c r="AD17" i="41"/>
  <c r="AD19" i="31"/>
  <c r="AD16" i="14"/>
  <c r="AA17" i="41"/>
  <c r="Z32" i="10"/>
  <c r="AA19" i="31"/>
  <c r="AA16" i="14"/>
  <c r="AA14" i="12"/>
  <c r="AD14" i="14"/>
  <c r="AC21" i="10"/>
  <c r="AD12" i="12"/>
  <c r="AD15" i="25"/>
  <c r="AD36" i="41"/>
  <c r="AD15" i="41"/>
  <c r="K21" i="10"/>
  <c r="L14" i="14"/>
  <c r="L36" i="41"/>
  <c r="L15" i="25"/>
  <c r="L15" i="41"/>
  <c r="L12" i="12"/>
  <c r="K21" i="9"/>
  <c r="AE14" i="41"/>
  <c r="AE30" i="41"/>
  <c r="AD14" i="10"/>
  <c r="AE17" i="23"/>
  <c r="AE11" i="12"/>
  <c r="AE13" i="14"/>
  <c r="AF26" i="10"/>
  <c r="AG16" i="41"/>
  <c r="AG15" i="14"/>
  <c r="AG13" i="12"/>
  <c r="AG15" i="27"/>
  <c r="F13" i="12"/>
  <c r="F16" i="41"/>
  <c r="E26" i="10"/>
  <c r="F15" i="27"/>
  <c r="F15" i="14"/>
  <c r="T18" i="41"/>
  <c r="T15" i="33"/>
  <c r="T17" i="14"/>
  <c r="T15" i="12"/>
  <c r="S42" i="10"/>
  <c r="R30" i="41"/>
  <c r="R14" i="41"/>
  <c r="R11" i="12"/>
  <c r="Q14" i="10"/>
  <c r="R13" i="14"/>
  <c r="R17" i="23"/>
  <c r="P48" i="10"/>
  <c r="R32" i="10"/>
  <c r="S14" i="12"/>
  <c r="S17" i="41"/>
  <c r="S16" i="14"/>
  <c r="S19" i="31"/>
  <c r="V15" i="41"/>
  <c r="V12" i="12"/>
  <c r="V14" i="14"/>
  <c r="U21" i="10"/>
  <c r="V36" i="41"/>
  <c r="V15" i="25"/>
  <c r="H15" i="41"/>
  <c r="H15" i="25"/>
  <c r="H14" i="14"/>
  <c r="H12" i="12"/>
  <c r="H36" i="41"/>
  <c r="G21" i="10"/>
  <c r="J17" i="41"/>
  <c r="J14" i="12"/>
  <c r="I32" i="10"/>
  <c r="J16" i="14"/>
  <c r="J19" i="31"/>
  <c r="Z6" i="8"/>
  <c r="Z42" i="9" s="1"/>
  <c r="Z7" i="8"/>
  <c r="AA12" i="14"/>
  <c r="Z9" i="10"/>
  <c r="AA13" i="41"/>
  <c r="AA23" i="41"/>
  <c r="AA15" i="21"/>
  <c r="AA10" i="12"/>
  <c r="AF14" i="10"/>
  <c r="AG17" i="23"/>
  <c r="AG14" i="41"/>
  <c r="AG30" i="41"/>
  <c r="AG13" i="14"/>
  <c r="AG11" i="12"/>
  <c r="P13" i="12"/>
  <c r="O26" i="10"/>
  <c r="P16" i="41"/>
  <c r="P15" i="14"/>
  <c r="P15" i="27"/>
  <c r="L26" i="10"/>
  <c r="M13" i="12"/>
  <c r="M15" i="14"/>
  <c r="M16" i="41"/>
  <c r="M15" i="27"/>
  <c r="AB14" i="41"/>
  <c r="AB13" i="14"/>
  <c r="AB11" i="12"/>
  <c r="AB30" i="41"/>
  <c r="AB17" i="23"/>
  <c r="AA14" i="10"/>
  <c r="G30" i="41"/>
  <c r="G13" i="14"/>
  <c r="G11" i="12"/>
  <c r="G17" i="23"/>
  <c r="G14" i="41"/>
  <c r="F14" i="10"/>
  <c r="O17" i="41"/>
  <c r="N32" i="10"/>
  <c r="O14" i="12"/>
  <c r="O19" i="31"/>
  <c r="O16" i="14"/>
  <c r="N32" i="9"/>
  <c r="AI14" i="41"/>
  <c r="AI17" i="23"/>
  <c r="AH14" i="10"/>
  <c r="AI30" i="41"/>
  <c r="AI13" i="14"/>
  <c r="AI11" i="12"/>
  <c r="H42" i="10"/>
  <c r="I15" i="33"/>
  <c r="I17" i="14"/>
  <c r="I15" i="12"/>
  <c r="I18" i="41"/>
  <c r="E12" i="14"/>
  <c r="D9" i="10"/>
  <c r="E23" i="41"/>
  <c r="E15" i="21"/>
  <c r="E13" i="41"/>
  <c r="E10" i="12"/>
  <c r="D7" i="8"/>
  <c r="D6" i="8"/>
  <c r="D26" i="9" s="1"/>
  <c r="AB15" i="41"/>
  <c r="AB36" i="41"/>
  <c r="AB14" i="14"/>
  <c r="AA21" i="10"/>
  <c r="AB12" i="12"/>
  <c r="AB15" i="25"/>
  <c r="Z15" i="33"/>
  <c r="Z18" i="41"/>
  <c r="Z15" i="12"/>
  <c r="Z17" i="14"/>
  <c r="Y42" i="10"/>
  <c r="AF18" i="41"/>
  <c r="AF15" i="12"/>
  <c r="AF15" i="33"/>
  <c r="AF17" i="14"/>
  <c r="AE42" i="10"/>
  <c r="M42" i="10"/>
  <c r="N15" i="12"/>
  <c r="N15" i="33"/>
  <c r="N18" i="41"/>
  <c r="N17" i="14"/>
  <c r="F10" i="12"/>
  <c r="F12" i="14"/>
  <c r="E6" i="8"/>
  <c r="E26" i="9" s="1"/>
  <c r="F13" i="41"/>
  <c r="F15" i="21"/>
  <c r="E7" i="8"/>
  <c r="E9" i="10"/>
  <c r="F23" i="41"/>
  <c r="Z15" i="21"/>
  <c r="Y6" i="8"/>
  <c r="Y42" i="9" s="1"/>
  <c r="Y7" i="8"/>
  <c r="Y9" i="10"/>
  <c r="Z23" i="41"/>
  <c r="Z13" i="41"/>
  <c r="Z12" i="14"/>
  <c r="Z10" i="12"/>
  <c r="J15" i="25"/>
  <c r="J15" i="41"/>
  <c r="I21" i="10"/>
  <c r="J12" i="12"/>
  <c r="J36" i="41"/>
  <c r="J14" i="14"/>
  <c r="L42" i="10"/>
  <c r="M18" i="41"/>
  <c r="M15" i="33"/>
  <c r="M17" i="14"/>
  <c r="M15" i="12"/>
  <c r="AJ26" i="10"/>
  <c r="D15" i="27"/>
  <c r="AL26" i="10"/>
  <c r="D15" i="14"/>
  <c r="D13" i="12"/>
  <c r="AI26" i="10"/>
  <c r="AK26" i="10"/>
  <c r="C26" i="10"/>
  <c r="D16" i="41"/>
  <c r="D13" i="41"/>
  <c r="D12" i="14"/>
  <c r="C6" i="8"/>
  <c r="C26" i="9" s="1"/>
  <c r="AJ9" i="10"/>
  <c r="C9" i="10"/>
  <c r="C7" i="8"/>
  <c r="D15" i="21"/>
  <c r="D10" i="12"/>
  <c r="AK9" i="10"/>
  <c r="AL9" i="10"/>
  <c r="D23" i="41"/>
  <c r="AI9" i="10"/>
  <c r="I48" i="10"/>
  <c r="AG7" i="8"/>
  <c r="AG9" i="10"/>
  <c r="AG6" i="8"/>
  <c r="AG21" i="9" s="1"/>
  <c r="AH15" i="21"/>
  <c r="AH12" i="14"/>
  <c r="AH13" i="41"/>
  <c r="AH23" i="41"/>
  <c r="AH10" i="12"/>
  <c r="AD11" i="12"/>
  <c r="AD14" i="41"/>
  <c r="AC14" i="10"/>
  <c r="AD13" i="14"/>
  <c r="AD30" i="41"/>
  <c r="AD17" i="23"/>
  <c r="AD42" i="10"/>
  <c r="AE17" i="14"/>
  <c r="AE15" i="33"/>
  <c r="AE18" i="41"/>
  <c r="AE15" i="12"/>
  <c r="W15" i="14"/>
  <c r="V26" i="10"/>
  <c r="W16" i="41"/>
  <c r="W15" i="27"/>
  <c r="W13" i="12"/>
  <c r="R14" i="12"/>
  <c r="R19" i="31"/>
  <c r="Q32" i="10"/>
  <c r="R16" i="14"/>
  <c r="R17" i="41"/>
  <c r="J15" i="12"/>
  <c r="J17" i="14"/>
  <c r="J15" i="33"/>
  <c r="J18" i="41"/>
  <c r="I42" i="10"/>
  <c r="X16" i="41"/>
  <c r="X13" i="12"/>
  <c r="X15" i="14"/>
  <c r="W26" i="10"/>
  <c r="X15" i="27"/>
  <c r="W26" i="9"/>
  <c r="T19" i="31"/>
  <c r="T17" i="41"/>
  <c r="S32" i="10"/>
  <c r="T16" i="14"/>
  <c r="T14" i="12"/>
  <c r="S32" i="9"/>
  <c r="L17" i="41"/>
  <c r="L16" i="14"/>
  <c r="K32" i="10"/>
  <c r="L14" i="12"/>
  <c r="L19" i="31"/>
  <c r="U26" i="10"/>
  <c r="V15" i="27"/>
  <c r="V16" i="41"/>
  <c r="V15" i="14"/>
  <c r="V13" i="12"/>
  <c r="U26" i="9"/>
  <c r="E15" i="25"/>
  <c r="E15" i="41"/>
  <c r="E14" i="14"/>
  <c r="D21" i="10"/>
  <c r="E36" i="41"/>
  <c r="E12" i="12"/>
  <c r="H21" i="10"/>
  <c r="I14" i="14"/>
  <c r="I15" i="25"/>
  <c r="I15" i="41"/>
  <c r="I12" i="12"/>
  <c r="I36" i="41"/>
  <c r="H21" i="9"/>
  <c r="N14" i="12"/>
  <c r="N17" i="41"/>
  <c r="N16" i="14"/>
  <c r="N19" i="31"/>
  <c r="M32" i="10"/>
  <c r="M32" i="9"/>
  <c r="AF6" i="8"/>
  <c r="AF32" i="9" s="1"/>
  <c r="AG23" i="41"/>
  <c r="AG10" i="12"/>
  <c r="AG12" i="14"/>
  <c r="AF7" i="8"/>
  <c r="AF9" i="10"/>
  <c r="AG15" i="21"/>
  <c r="AG13" i="41"/>
  <c r="AI18" i="41"/>
  <c r="AI17" i="14"/>
  <c r="AM233" i="14" s="1"/>
  <c r="AM209" i="14" s="1"/>
  <c r="AM185" i="14" s="1"/>
  <c r="AM161" i="14" s="1"/>
  <c r="AI15" i="33"/>
  <c r="AH42" i="10"/>
  <c r="AI15" i="12"/>
  <c r="T12" i="12"/>
  <c r="T15" i="41"/>
  <c r="T15" i="25"/>
  <c r="T36" i="41"/>
  <c r="T14" i="14"/>
  <c r="S21" i="10"/>
  <c r="N14" i="10"/>
  <c r="O14" i="41"/>
  <c r="O13" i="14"/>
  <c r="O17" i="23"/>
  <c r="O11" i="12"/>
  <c r="O30" i="41"/>
  <c r="Z14" i="41"/>
  <c r="Z17" i="23"/>
  <c r="Z13" i="14"/>
  <c r="Y14" i="10"/>
  <c r="Z11" i="12"/>
  <c r="Z30" i="41"/>
  <c r="J14" i="10"/>
  <c r="K11" i="12"/>
  <c r="K13" i="14"/>
  <c r="K30" i="41"/>
  <c r="K17" i="23"/>
  <c r="K14" i="41"/>
  <c r="P32" i="10"/>
  <c r="Q16" i="14"/>
  <c r="Q17" i="41"/>
  <c r="Q19" i="31"/>
  <c r="Q14" i="12"/>
  <c r="AI10" i="12"/>
  <c r="AH9" i="10"/>
  <c r="AI12" i="14"/>
  <c r="AH6" i="8"/>
  <c r="AH42" i="9" s="1"/>
  <c r="AI23" i="41"/>
  <c r="AI13" i="41"/>
  <c r="AH7" i="8"/>
  <c r="AI15" i="21"/>
  <c r="J42" i="10"/>
  <c r="K15" i="12"/>
  <c r="K17" i="14"/>
  <c r="K15" i="33"/>
  <c r="K18" i="41"/>
  <c r="Y26" i="10"/>
  <c r="Z15" i="27"/>
  <c r="Z16" i="41"/>
  <c r="Z15" i="14"/>
  <c r="Z13" i="12"/>
  <c r="P12" i="14"/>
  <c r="P13" i="41"/>
  <c r="P15" i="21"/>
  <c r="P10" i="12"/>
  <c r="O9" i="10"/>
  <c r="O7" i="8"/>
  <c r="O6" i="8"/>
  <c r="O42" i="9" s="1"/>
  <c r="P23" i="41"/>
  <c r="AD21" i="10"/>
  <c r="AE36" i="41"/>
  <c r="AE14" i="14"/>
  <c r="AE12" i="12"/>
  <c r="AE15" i="25"/>
  <c r="AE15" i="41"/>
  <c r="AC15" i="14"/>
  <c r="AC16" i="41"/>
  <c r="AC15" i="27"/>
  <c r="AC13" i="12"/>
  <c r="AB26" i="10"/>
  <c r="AB26" i="9"/>
  <c r="P17" i="23"/>
  <c r="P11" i="12"/>
  <c r="P14" i="41"/>
  <c r="O14" i="10"/>
  <c r="P13" i="14"/>
  <c r="P30" i="41"/>
  <c r="G16" i="41"/>
  <c r="G15" i="14"/>
  <c r="F26" i="10"/>
  <c r="G15" i="27"/>
  <c r="G13" i="12"/>
  <c r="U48" i="10"/>
  <c r="AK21" i="10"/>
  <c r="AI21" i="10"/>
  <c r="AJ21" i="10"/>
  <c r="D12" i="12"/>
  <c r="C21" i="10"/>
  <c r="D15" i="25"/>
  <c r="D36" i="41"/>
  <c r="D15" i="41"/>
  <c r="AL21" i="10"/>
  <c r="D14" i="14"/>
  <c r="T13" i="14"/>
  <c r="T14" i="41"/>
  <c r="T17" i="23"/>
  <c r="S14" i="10"/>
  <c r="T11" i="12"/>
  <c r="T30" i="41"/>
  <c r="S14" i="9"/>
  <c r="H13" i="12"/>
  <c r="H15" i="14"/>
  <c r="H15" i="27"/>
  <c r="H16" i="41"/>
  <c r="G26" i="10"/>
  <c r="G26" i="9"/>
  <c r="AC15" i="33"/>
  <c r="AB42" i="10"/>
  <c r="AC18" i="41"/>
  <c r="AC15" i="12"/>
  <c r="AC17" i="14"/>
  <c r="E14" i="12"/>
  <c r="D32" i="10"/>
  <c r="E16" i="14"/>
  <c r="E19" i="31"/>
  <c r="E17" i="41"/>
  <c r="G13" i="41"/>
  <c r="F9" i="10"/>
  <c r="F7" i="8"/>
  <c r="G12" i="14"/>
  <c r="G10" i="12"/>
  <c r="G23" i="41"/>
  <c r="G15" i="21"/>
  <c r="F6" i="8"/>
  <c r="AD48" i="10"/>
  <c r="E15" i="33"/>
  <c r="D42" i="10"/>
  <c r="E15" i="12"/>
  <c r="E18" i="41"/>
  <c r="E17" i="14"/>
  <c r="F16" i="14"/>
  <c r="E32" i="10"/>
  <c r="F17" i="41"/>
  <c r="F19" i="31"/>
  <c r="F14" i="12"/>
  <c r="H15" i="12"/>
  <c r="H15" i="33"/>
  <c r="G42" i="10"/>
  <c r="H18" i="41"/>
  <c r="H17" i="14"/>
  <c r="V48" i="10"/>
  <c r="AD13" i="41"/>
  <c r="AD12" i="14"/>
  <c r="AC6" i="8"/>
  <c r="AC42" i="9" s="1"/>
  <c r="AC9" i="10"/>
  <c r="AD23" i="41"/>
  <c r="AD10" i="12"/>
  <c r="AC7" i="8"/>
  <c r="AD15" i="21"/>
  <c r="M10" i="12"/>
  <c r="M12" i="14"/>
  <c r="M23" i="41"/>
  <c r="L7" i="8"/>
  <c r="L9" i="10"/>
  <c r="L6" i="8"/>
  <c r="L32" i="9" s="1"/>
  <c r="M15" i="21"/>
  <c r="M13" i="41"/>
  <c r="P16" i="14"/>
  <c r="P19" i="31"/>
  <c r="P14" i="12"/>
  <c r="P17" i="41"/>
  <c r="O32" i="10"/>
  <c r="O48" i="10"/>
  <c r="AB48" i="10"/>
  <c r="AC14" i="41"/>
  <c r="AC30" i="41"/>
  <c r="AC17" i="23"/>
  <c r="AC11" i="12"/>
  <c r="AC13" i="14"/>
  <c r="AB14" i="10"/>
  <c r="AB14" i="9"/>
  <c r="Y15" i="25"/>
  <c r="Y14" i="14"/>
  <c r="Y15" i="41"/>
  <c r="Y36" i="41"/>
  <c r="Y12" i="12"/>
  <c r="X21" i="10"/>
  <c r="X21" i="9"/>
  <c r="AH21" i="10"/>
  <c r="AI12" i="12"/>
  <c r="AI36" i="41"/>
  <c r="AI15" i="41"/>
  <c r="AI14" i="14"/>
  <c r="AI15" i="25"/>
  <c r="AB17" i="14"/>
  <c r="AA42" i="10"/>
  <c r="AB15" i="12"/>
  <c r="AB18" i="41"/>
  <c r="AB15" i="33"/>
  <c r="U12" i="14"/>
  <c r="U13" i="41"/>
  <c r="U10" i="12"/>
  <c r="U23" i="41"/>
  <c r="U15" i="21"/>
  <c r="T9" i="10"/>
  <c r="T6" i="8"/>
  <c r="T9" i="9" s="1"/>
  <c r="T7" i="8"/>
  <c r="AI15" i="27"/>
  <c r="AI13" i="12"/>
  <c r="AI15" i="14"/>
  <c r="AH26" i="10"/>
  <c r="AI16" i="41"/>
  <c r="V32" i="10"/>
  <c r="W14" i="12"/>
  <c r="W16" i="14"/>
  <c r="W17" i="41"/>
  <c r="W19" i="31"/>
  <c r="S23" i="41"/>
  <c r="S12" i="14"/>
  <c r="S15" i="21"/>
  <c r="S10" i="12"/>
  <c r="R7" i="8"/>
  <c r="R7" i="10" s="1"/>
  <c r="R9" i="10"/>
  <c r="S13" i="41"/>
  <c r="R6" i="8"/>
  <c r="R14" i="9" s="1"/>
  <c r="AB10" i="12"/>
  <c r="AB23" i="41"/>
  <c r="AB13" i="41"/>
  <c r="AB15" i="21"/>
  <c r="AA6" i="8"/>
  <c r="AA21" i="9" s="1"/>
  <c r="AA7" i="8"/>
  <c r="AB12" i="14"/>
  <c r="AA9" i="10"/>
  <c r="Q7" i="8"/>
  <c r="R10" i="12"/>
  <c r="Q9" i="10"/>
  <c r="R23" i="41"/>
  <c r="R13" i="41"/>
  <c r="R12" i="14"/>
  <c r="R15" i="21"/>
  <c r="Q6" i="8"/>
  <c r="Q26" i="9" s="1"/>
  <c r="F48" i="10"/>
  <c r="E30" i="41"/>
  <c r="E17" i="23"/>
  <c r="E13" i="14"/>
  <c r="D14" i="10"/>
  <c r="E14" i="41"/>
  <c r="E11" i="12"/>
  <c r="AB15" i="27"/>
  <c r="AB15" i="14"/>
  <c r="AB13" i="12"/>
  <c r="AB16" i="41"/>
  <c r="AA26" i="10"/>
  <c r="T42" i="10"/>
  <c r="U17" i="14"/>
  <c r="U15" i="12"/>
  <c r="U15" i="33"/>
  <c r="U18" i="41"/>
  <c r="L14" i="10"/>
  <c r="M13" i="14"/>
  <c r="M17" i="23"/>
  <c r="M11" i="12"/>
  <c r="M14" i="41"/>
  <c r="M30" i="41"/>
  <c r="T13" i="12"/>
  <c r="S26" i="10"/>
  <c r="T15" i="27"/>
  <c r="T15" i="14"/>
  <c r="T16" i="41"/>
  <c r="S26" i="9"/>
  <c r="AI42" i="10"/>
  <c r="AJ42" i="10"/>
  <c r="AK42" i="10"/>
  <c r="C42" i="10"/>
  <c r="D15" i="33"/>
  <c r="D15" i="12"/>
  <c r="D17" i="14"/>
  <c r="D18" i="41"/>
  <c r="AL42" i="10"/>
  <c r="AA11" i="12"/>
  <c r="Z14" i="10"/>
  <c r="AA30" i="41"/>
  <c r="AA14" i="41"/>
  <c r="AA13" i="14"/>
  <c r="AA17" i="23"/>
  <c r="Z14" i="9"/>
  <c r="AI48" i="10"/>
  <c r="AL48" i="10"/>
  <c r="C48" i="10"/>
  <c r="AJ48" i="10"/>
  <c r="AK48" i="10"/>
  <c r="AD32" i="10"/>
  <c r="AE16" i="14"/>
  <c r="AE19" i="31"/>
  <c r="AE17" i="41"/>
  <c r="AE14" i="12"/>
  <c r="AD32" i="9"/>
  <c r="AG32" i="10"/>
  <c r="AH14" i="12"/>
  <c r="AH17" i="41"/>
  <c r="AH19" i="31"/>
  <c r="AH16" i="14"/>
  <c r="H26" i="10"/>
  <c r="I15" i="14"/>
  <c r="I16" i="41"/>
  <c r="I15" i="27"/>
  <c r="I13" i="12"/>
  <c r="H26" i="9"/>
  <c r="AH26" i="9" l="1"/>
  <c r="V9" i="9"/>
  <c r="S16" i="12"/>
  <c r="G42" i="9"/>
  <c r="AD26" i="9"/>
  <c r="U16" i="12"/>
  <c r="AD14" i="9"/>
  <c r="AA7" i="10"/>
  <c r="M42" i="9"/>
  <c r="G16" i="12"/>
  <c r="J9" i="9"/>
  <c r="J42" i="9"/>
  <c r="P14" i="9"/>
  <c r="R16" i="12"/>
  <c r="P32" i="9"/>
  <c r="J26" i="9"/>
  <c r="N9" i="9"/>
  <c r="D32" i="9"/>
  <c r="I6" i="8"/>
  <c r="I9" i="9" s="1"/>
  <c r="AD42" i="9"/>
  <c r="N21" i="9"/>
  <c r="N42" i="9"/>
  <c r="K26" i="9"/>
  <c r="M26" i="9"/>
  <c r="L9" i="9"/>
  <c r="K42" i="9"/>
  <c r="M21" i="9"/>
  <c r="D42" i="9"/>
  <c r="D21" i="9"/>
  <c r="X26" i="9"/>
  <c r="P9" i="9"/>
  <c r="AC7" i="10"/>
  <c r="F7" i="10"/>
  <c r="AM28" i="14"/>
  <c r="AM17" i="33" s="1"/>
  <c r="AM149" i="14"/>
  <c r="I16" i="12"/>
  <c r="K9" i="9"/>
  <c r="R9" i="9"/>
  <c r="Q7" i="10"/>
  <c r="Z32" i="9"/>
  <c r="U9" i="9"/>
  <c r="H32" i="9"/>
  <c r="Y16" i="12"/>
  <c r="O7" i="10"/>
  <c r="M7" i="10"/>
  <c r="V7" i="10"/>
  <c r="AG32" i="9"/>
  <c r="L7" i="10"/>
  <c r="AF7" i="10"/>
  <c r="Y7" i="10"/>
  <c r="Z7" i="10"/>
  <c r="H16" i="12"/>
  <c r="E42" i="9"/>
  <c r="AC21" i="9"/>
  <c r="H14" i="9"/>
  <c r="AG11" i="14"/>
  <c r="D9" i="9"/>
  <c r="W16" i="12"/>
  <c r="M16" i="12"/>
  <c r="AG7" i="10"/>
  <c r="AB7" i="10"/>
  <c r="P42" i="9"/>
  <c r="AC9" i="9"/>
  <c r="AD7" i="10"/>
  <c r="E7" i="10"/>
  <c r="D7" i="10"/>
  <c r="H7" i="10"/>
  <c r="AB16" i="12"/>
  <c r="T7" i="10"/>
  <c r="AH7" i="10"/>
  <c r="AG9" i="9"/>
  <c r="F9" i="9"/>
  <c r="F6" i="9"/>
  <c r="G6" i="41"/>
  <c r="F6" i="10"/>
  <c r="F38" i="9"/>
  <c r="F44" i="9"/>
  <c r="F17" i="9"/>
  <c r="F28" i="9"/>
  <c r="F34" i="9"/>
  <c r="F37" i="9"/>
  <c r="F39" i="9"/>
  <c r="F46" i="9"/>
  <c r="F36" i="9"/>
  <c r="F23" i="9"/>
  <c r="F18" i="9"/>
  <c r="F33" i="9"/>
  <c r="F16" i="9"/>
  <c r="F35" i="9"/>
  <c r="F24" i="9"/>
  <c r="F27" i="9"/>
  <c r="F10" i="9"/>
  <c r="F45" i="9"/>
  <c r="F22" i="9"/>
  <c r="F30" i="9"/>
  <c r="F40" i="9"/>
  <c r="F15" i="9"/>
  <c r="F12" i="9"/>
  <c r="F43" i="9"/>
  <c r="F11" i="9"/>
  <c r="F29" i="9"/>
  <c r="F19" i="9"/>
  <c r="AA16" i="12"/>
  <c r="AC11" i="14"/>
  <c r="G9" i="9"/>
  <c r="G6" i="10"/>
  <c r="H6" i="41"/>
  <c r="G6" i="9"/>
  <c r="G36" i="9"/>
  <c r="G11" i="9"/>
  <c r="G40" i="9"/>
  <c r="G44" i="9"/>
  <c r="G16" i="9"/>
  <c r="G37" i="9"/>
  <c r="G38" i="9"/>
  <c r="G34" i="9"/>
  <c r="G39" i="9"/>
  <c r="G12" i="9"/>
  <c r="G28" i="9"/>
  <c r="G35" i="9"/>
  <c r="G24" i="9"/>
  <c r="G30" i="9"/>
  <c r="G33" i="9"/>
  <c r="G43" i="9"/>
  <c r="G19" i="9"/>
  <c r="G27" i="9"/>
  <c r="G29" i="9"/>
  <c r="G46" i="9"/>
  <c r="G22" i="9"/>
  <c r="G45" i="9"/>
  <c r="G23" i="9"/>
  <c r="G18" i="9"/>
  <c r="G17" i="9"/>
  <c r="G15" i="9"/>
  <c r="G10" i="9"/>
  <c r="L21" i="9"/>
  <c r="Q42" i="9"/>
  <c r="S42" i="9"/>
  <c r="S6" i="10"/>
  <c r="S6" i="9"/>
  <c r="T6" i="41"/>
  <c r="S40" i="9"/>
  <c r="S17" i="9"/>
  <c r="S23" i="9"/>
  <c r="S35" i="9"/>
  <c r="S39" i="9"/>
  <c r="S34" i="9"/>
  <c r="S37" i="9"/>
  <c r="S38" i="9"/>
  <c r="S18" i="9"/>
  <c r="S36" i="9"/>
  <c r="S44" i="9"/>
  <c r="S45" i="9"/>
  <c r="S30" i="9"/>
  <c r="S24" i="9"/>
  <c r="S27" i="9"/>
  <c r="S16" i="9"/>
  <c r="S12" i="9"/>
  <c r="S33" i="9"/>
  <c r="S15" i="9"/>
  <c r="S43" i="9"/>
  <c r="S29" i="9"/>
  <c r="S22" i="9"/>
  <c r="S11" i="9"/>
  <c r="S19" i="9"/>
  <c r="S28" i="9"/>
  <c r="S46" i="9"/>
  <c r="S10" i="9"/>
  <c r="W32" i="9"/>
  <c r="X6" i="41"/>
  <c r="W6" i="9"/>
  <c r="W6" i="10"/>
  <c r="W29" i="9"/>
  <c r="W39" i="9"/>
  <c r="W12" i="9"/>
  <c r="W18" i="9"/>
  <c r="W45" i="9"/>
  <c r="W34" i="9"/>
  <c r="W37" i="9"/>
  <c r="W36" i="9"/>
  <c r="W40" i="9"/>
  <c r="W38" i="9"/>
  <c r="W28" i="9"/>
  <c r="W33" i="9"/>
  <c r="W43" i="9"/>
  <c r="W17" i="9"/>
  <c r="W46" i="9"/>
  <c r="W19" i="9"/>
  <c r="W24" i="9"/>
  <c r="W10" i="9"/>
  <c r="W16" i="9"/>
  <c r="W35" i="9"/>
  <c r="W11" i="9"/>
  <c r="W44" i="9"/>
  <c r="W27" i="9"/>
  <c r="W15" i="9"/>
  <c r="W30" i="9"/>
  <c r="W23" i="9"/>
  <c r="W22" i="9"/>
  <c r="C32" i="9"/>
  <c r="AE32" i="9"/>
  <c r="AF6" i="41"/>
  <c r="AE6" i="9"/>
  <c r="AE6" i="10"/>
  <c r="AE36" i="9"/>
  <c r="AE34" i="9"/>
  <c r="AE39" i="9"/>
  <c r="AE35" i="9"/>
  <c r="AE46" i="9"/>
  <c r="AE28" i="9"/>
  <c r="AE38" i="9"/>
  <c r="AE40" i="9"/>
  <c r="AE37" i="9"/>
  <c r="AE44" i="9"/>
  <c r="AE30" i="9"/>
  <c r="AE27" i="9"/>
  <c r="AE45" i="9"/>
  <c r="AE19" i="9"/>
  <c r="AE22" i="9"/>
  <c r="AE17" i="9"/>
  <c r="AE24" i="9"/>
  <c r="AE11" i="9"/>
  <c r="AE23" i="9"/>
  <c r="AE29" i="9"/>
  <c r="AE33" i="9"/>
  <c r="AE43" i="9"/>
  <c r="AE10" i="9"/>
  <c r="AE12" i="9"/>
  <c r="AE15" i="9"/>
  <c r="AE16" i="9"/>
  <c r="AE18" i="9"/>
  <c r="X11" i="14"/>
  <c r="AB28" i="41"/>
  <c r="AB29" i="41"/>
  <c r="C9" i="9"/>
  <c r="C21" i="9"/>
  <c r="AH21" i="9"/>
  <c r="AH6" i="10"/>
  <c r="AI6" i="41"/>
  <c r="AH6" i="9"/>
  <c r="AH34" i="9"/>
  <c r="AH45" i="9"/>
  <c r="AH23" i="9"/>
  <c r="AH46" i="9"/>
  <c r="AH44" i="9"/>
  <c r="AH37" i="9"/>
  <c r="AH17" i="9"/>
  <c r="AH35" i="9"/>
  <c r="AH40" i="9"/>
  <c r="AH38" i="9"/>
  <c r="AH39" i="9"/>
  <c r="AH12" i="9"/>
  <c r="AH36" i="9"/>
  <c r="AH19" i="9"/>
  <c r="AH27" i="9"/>
  <c r="AH22" i="9"/>
  <c r="AH10" i="9"/>
  <c r="AH43" i="9"/>
  <c r="AH16" i="9"/>
  <c r="AH33" i="9"/>
  <c r="AH11" i="9"/>
  <c r="AH28" i="9"/>
  <c r="AH24" i="9"/>
  <c r="AH15" i="9"/>
  <c r="AH29" i="9"/>
  <c r="AH30" i="9"/>
  <c r="AH18" i="9"/>
  <c r="AH16" i="12"/>
  <c r="L42" i="9"/>
  <c r="AB41" i="41"/>
  <c r="AB42" i="41"/>
  <c r="V32" i="9"/>
  <c r="V6" i="9"/>
  <c r="V6" i="10"/>
  <c r="W6" i="41"/>
  <c r="V45" i="9"/>
  <c r="V37" i="9"/>
  <c r="V38" i="9"/>
  <c r="V23" i="9"/>
  <c r="V36" i="9"/>
  <c r="V39" i="9"/>
  <c r="V46" i="9"/>
  <c r="V34" i="9"/>
  <c r="V11" i="9"/>
  <c r="V15" i="9"/>
  <c r="V33" i="9"/>
  <c r="V35" i="9"/>
  <c r="V30" i="9"/>
  <c r="V12" i="9"/>
  <c r="V17" i="9"/>
  <c r="V40" i="9"/>
  <c r="V16" i="9"/>
  <c r="V28" i="9"/>
  <c r="V24" i="9"/>
  <c r="V29" i="9"/>
  <c r="V27" i="9"/>
  <c r="V19" i="9"/>
  <c r="V43" i="9"/>
  <c r="V18" i="9"/>
  <c r="V22" i="9"/>
  <c r="V10" i="9"/>
  <c r="V44" i="9"/>
  <c r="G7" i="10"/>
  <c r="AE11" i="14"/>
  <c r="L16" i="12"/>
  <c r="AF21" i="9"/>
  <c r="X9" i="9"/>
  <c r="Y6" i="41"/>
  <c r="X6" i="9"/>
  <c r="X6" i="10"/>
  <c r="X37" i="9"/>
  <c r="X23" i="9"/>
  <c r="X44" i="9"/>
  <c r="X28" i="9"/>
  <c r="X38" i="9"/>
  <c r="X16" i="9"/>
  <c r="X12" i="9"/>
  <c r="X35" i="9"/>
  <c r="X29" i="9"/>
  <c r="X30" i="9"/>
  <c r="X36" i="9"/>
  <c r="X45" i="9"/>
  <c r="X39" i="9"/>
  <c r="X34" i="9"/>
  <c r="X11" i="9"/>
  <c r="X43" i="9"/>
  <c r="X33" i="9"/>
  <c r="X46" i="9"/>
  <c r="X24" i="9"/>
  <c r="X22" i="9"/>
  <c r="X19" i="9"/>
  <c r="X15" i="9"/>
  <c r="X18" i="9"/>
  <c r="X40" i="9"/>
  <c r="X10" i="9"/>
  <c r="X17" i="9"/>
  <c r="X27" i="9"/>
  <c r="P16" i="12"/>
  <c r="AI11" i="14"/>
  <c r="AH28" i="41"/>
  <c r="AH29" i="41"/>
  <c r="L26" i="9"/>
  <c r="AA28" i="41"/>
  <c r="AA29" i="41"/>
  <c r="AF26" i="9"/>
  <c r="AE34" i="41"/>
  <c r="AE35" i="41"/>
  <c r="AC41" i="41"/>
  <c r="AC42" i="41"/>
  <c r="G14" i="9"/>
  <c r="M14" i="9"/>
  <c r="M6" i="10"/>
  <c r="N6" i="41"/>
  <c r="M6" i="9"/>
  <c r="M17" i="9"/>
  <c r="M34" i="9"/>
  <c r="M28" i="9"/>
  <c r="M38" i="9"/>
  <c r="M39" i="9"/>
  <c r="M16" i="9"/>
  <c r="M45" i="9"/>
  <c r="M37" i="9"/>
  <c r="M36" i="9"/>
  <c r="M27" i="9"/>
  <c r="M18" i="9"/>
  <c r="M12" i="9"/>
  <c r="M10" i="9"/>
  <c r="M30" i="9"/>
  <c r="M22" i="9"/>
  <c r="M44" i="9"/>
  <c r="M46" i="9"/>
  <c r="M24" i="9"/>
  <c r="M33" i="9"/>
  <c r="M29" i="9"/>
  <c r="M43" i="9"/>
  <c r="M35" i="9"/>
  <c r="M40" i="9"/>
  <c r="M15" i="9"/>
  <c r="M11" i="9"/>
  <c r="M19" i="9"/>
  <c r="M23" i="9"/>
  <c r="C6" i="9"/>
  <c r="AL6" i="10"/>
  <c r="C6" i="10"/>
  <c r="AJ6" i="10"/>
  <c r="D6" i="41"/>
  <c r="AI6" i="10"/>
  <c r="AK6" i="10"/>
  <c r="C39" i="9"/>
  <c r="C40" i="9"/>
  <c r="C28" i="9"/>
  <c r="C30" i="9"/>
  <c r="C36" i="9"/>
  <c r="C38" i="9"/>
  <c r="C45" i="9"/>
  <c r="C12" i="9"/>
  <c r="C46" i="9"/>
  <c r="C29" i="9"/>
  <c r="C37" i="9"/>
  <c r="C34" i="9"/>
  <c r="C18" i="9"/>
  <c r="C24" i="9"/>
  <c r="C23" i="9"/>
  <c r="C35" i="9"/>
  <c r="C15" i="9"/>
  <c r="C43" i="9"/>
  <c r="C33" i="9"/>
  <c r="C19" i="9"/>
  <c r="C22" i="9"/>
  <c r="C16" i="9"/>
  <c r="C10" i="9"/>
  <c r="C17" i="9"/>
  <c r="C11" i="9"/>
  <c r="C27" i="9"/>
  <c r="C44" i="9"/>
  <c r="AI28" i="41"/>
  <c r="AI29" i="41"/>
  <c r="T14" i="9"/>
  <c r="T6" i="10"/>
  <c r="U6" i="41"/>
  <c r="T6" i="9"/>
  <c r="T45" i="9"/>
  <c r="T37" i="9"/>
  <c r="T12" i="9"/>
  <c r="T34" i="9"/>
  <c r="T35" i="9"/>
  <c r="T36" i="9"/>
  <c r="T39" i="9"/>
  <c r="T38" i="9"/>
  <c r="T44" i="9"/>
  <c r="T43" i="9"/>
  <c r="T19" i="9"/>
  <c r="T10" i="9"/>
  <c r="T18" i="9"/>
  <c r="T30" i="9"/>
  <c r="T23" i="9"/>
  <c r="T40" i="9"/>
  <c r="T22" i="9"/>
  <c r="T24" i="9"/>
  <c r="T27" i="9"/>
  <c r="T46" i="9"/>
  <c r="T33" i="9"/>
  <c r="T11" i="9"/>
  <c r="T15" i="9"/>
  <c r="T28" i="9"/>
  <c r="T17" i="9"/>
  <c r="T29" i="9"/>
  <c r="T16" i="9"/>
  <c r="F26" i="9"/>
  <c r="AD41" i="41"/>
  <c r="AD42" i="41"/>
  <c r="AC28" i="41"/>
  <c r="AC29" i="41"/>
  <c r="F42" i="9"/>
  <c r="U32" i="9"/>
  <c r="U6" i="9"/>
  <c r="V6" i="41"/>
  <c r="U6" i="10"/>
  <c r="U39" i="9"/>
  <c r="U23" i="9"/>
  <c r="U36" i="9"/>
  <c r="U34" i="9"/>
  <c r="U46" i="9"/>
  <c r="U38" i="9"/>
  <c r="U37" i="9"/>
  <c r="U28" i="9"/>
  <c r="U35" i="9"/>
  <c r="U40" i="9"/>
  <c r="U33" i="9"/>
  <c r="U44" i="9"/>
  <c r="U19" i="9"/>
  <c r="U18" i="9"/>
  <c r="U15" i="9"/>
  <c r="U12" i="9"/>
  <c r="U27" i="9"/>
  <c r="U24" i="9"/>
  <c r="U29" i="9"/>
  <c r="U45" i="9"/>
  <c r="U22" i="9"/>
  <c r="U16" i="9"/>
  <c r="U10" i="9"/>
  <c r="U43" i="9"/>
  <c r="U17" i="9"/>
  <c r="U30" i="9"/>
  <c r="U11" i="9"/>
  <c r="AE26" i="9"/>
  <c r="K7" i="10"/>
  <c r="AG41" i="41"/>
  <c r="AG42" i="41"/>
  <c r="T16" i="12"/>
  <c r="X16" i="12"/>
  <c r="K16" i="12"/>
  <c r="Y9" i="9"/>
  <c r="Y6" i="9"/>
  <c r="Z6" i="41"/>
  <c r="Y6" i="10"/>
  <c r="Y46" i="9"/>
  <c r="Y23" i="9"/>
  <c r="Y35" i="9"/>
  <c r="Y39" i="9"/>
  <c r="Y34" i="9"/>
  <c r="Y17" i="9"/>
  <c r="Y11" i="9"/>
  <c r="Y37" i="9"/>
  <c r="Y36" i="9"/>
  <c r="Y38" i="9"/>
  <c r="Y45" i="9"/>
  <c r="Y44" i="9"/>
  <c r="Y33" i="9"/>
  <c r="Y30" i="9"/>
  <c r="Y19" i="9"/>
  <c r="Y29" i="9"/>
  <c r="Y24" i="9"/>
  <c r="Y15" i="9"/>
  <c r="Y28" i="9"/>
  <c r="Y40" i="9"/>
  <c r="Y10" i="9"/>
  <c r="Y43" i="9"/>
  <c r="Y16" i="9"/>
  <c r="Y27" i="9"/>
  <c r="Y22" i="9"/>
  <c r="Y12" i="9"/>
  <c r="Y18" i="9"/>
  <c r="AE14" i="9"/>
  <c r="R26" i="9"/>
  <c r="R6" i="10"/>
  <c r="R6" i="9"/>
  <c r="S6" i="41"/>
  <c r="R35" i="9"/>
  <c r="R12" i="9"/>
  <c r="R39" i="9"/>
  <c r="R11" i="9"/>
  <c r="R28" i="9"/>
  <c r="R36" i="9"/>
  <c r="R24" i="9"/>
  <c r="R44" i="9"/>
  <c r="R17" i="9"/>
  <c r="R45" i="9"/>
  <c r="R40" i="9"/>
  <c r="R37" i="9"/>
  <c r="R29" i="9"/>
  <c r="R18" i="9"/>
  <c r="R38" i="9"/>
  <c r="R34" i="9"/>
  <c r="R10" i="9"/>
  <c r="R30" i="9"/>
  <c r="R27" i="9"/>
  <c r="R16" i="9"/>
  <c r="R33" i="9"/>
  <c r="R23" i="9"/>
  <c r="R19" i="9"/>
  <c r="R43" i="9"/>
  <c r="R22" i="9"/>
  <c r="R15" i="9"/>
  <c r="R46" i="9"/>
  <c r="AA9" i="9"/>
  <c r="AH11" i="14"/>
  <c r="D14" i="9"/>
  <c r="E6" i="41"/>
  <c r="D6" i="10"/>
  <c r="D6" i="9"/>
  <c r="D35" i="9"/>
  <c r="D17" i="9"/>
  <c r="D34" i="9"/>
  <c r="D37" i="9"/>
  <c r="D29" i="9"/>
  <c r="D28" i="9"/>
  <c r="D16" i="9"/>
  <c r="D39" i="9"/>
  <c r="D40" i="9"/>
  <c r="D38" i="9"/>
  <c r="D36" i="9"/>
  <c r="D23" i="9"/>
  <c r="D44" i="9"/>
  <c r="D15" i="9"/>
  <c r="D19" i="9"/>
  <c r="D11" i="9"/>
  <c r="D43" i="9"/>
  <c r="D33" i="9"/>
  <c r="D10" i="9"/>
  <c r="D46" i="9"/>
  <c r="D24" i="9"/>
  <c r="D45" i="9"/>
  <c r="D22" i="9"/>
  <c r="D12" i="9"/>
  <c r="D27" i="9"/>
  <c r="D30" i="9"/>
  <c r="D18" i="9"/>
  <c r="AF14" i="9"/>
  <c r="G21" i="9"/>
  <c r="AC32" i="9"/>
  <c r="AA32" i="9"/>
  <c r="AE9" i="9"/>
  <c r="AG42" i="9"/>
  <c r="N7" i="10"/>
  <c r="W14" i="9"/>
  <c r="S7" i="10"/>
  <c r="W7" i="10"/>
  <c r="Y32" i="9"/>
  <c r="J7" i="10"/>
  <c r="Y11" i="14"/>
  <c r="O21" i="9"/>
  <c r="O6" i="9"/>
  <c r="P6" i="41"/>
  <c r="O6" i="10"/>
  <c r="O35" i="9"/>
  <c r="O46" i="9"/>
  <c r="O40" i="9"/>
  <c r="O38" i="9"/>
  <c r="O36" i="9"/>
  <c r="O34" i="9"/>
  <c r="O37" i="9"/>
  <c r="O39" i="9"/>
  <c r="O18" i="9"/>
  <c r="O12" i="9"/>
  <c r="O44" i="9"/>
  <c r="O15" i="9"/>
  <c r="O33" i="9"/>
  <c r="O45" i="9"/>
  <c r="O24" i="9"/>
  <c r="O10" i="9"/>
  <c r="O23" i="9"/>
  <c r="O17" i="9"/>
  <c r="O27" i="9"/>
  <c r="O28" i="9"/>
  <c r="O19" i="9"/>
  <c r="O29" i="9"/>
  <c r="O30" i="9"/>
  <c r="O43" i="9"/>
  <c r="O11" i="9"/>
  <c r="O16" i="9"/>
  <c r="O22" i="9"/>
  <c r="AD16" i="12"/>
  <c r="AE41" i="41"/>
  <c r="AE42" i="41"/>
  <c r="AI16" i="12"/>
  <c r="D16" i="12"/>
  <c r="AQ17" i="12" s="1"/>
  <c r="Z16" i="12"/>
  <c r="AE42" i="9"/>
  <c r="Q14" i="9"/>
  <c r="U14" i="9"/>
  <c r="V42" i="9"/>
  <c r="AF16" i="12"/>
  <c r="J11" i="12"/>
  <c r="J16" i="12" s="1"/>
  <c r="J13" i="14"/>
  <c r="J30" i="41"/>
  <c r="I14" i="10"/>
  <c r="J17" i="23"/>
  <c r="J14" i="41"/>
  <c r="C14" i="9"/>
  <c r="E21" i="9"/>
  <c r="AH32" i="9"/>
  <c r="Q16" i="12"/>
  <c r="AG14" i="9"/>
  <c r="E14" i="9"/>
  <c r="AA26" i="9"/>
  <c r="C42" i="9"/>
  <c r="Q9" i="9"/>
  <c r="AB11" i="14"/>
  <c r="AD28" i="41"/>
  <c r="AD29" i="41"/>
  <c r="Y26" i="9"/>
  <c r="Z11" i="14"/>
  <c r="AA14" i="9"/>
  <c r="AA11" i="14"/>
  <c r="AB42" i="9"/>
  <c r="AC6" i="41"/>
  <c r="AB6" i="10"/>
  <c r="AB6" i="9"/>
  <c r="AB40" i="9"/>
  <c r="AB30" i="9"/>
  <c r="AB35" i="9"/>
  <c r="AB46" i="9"/>
  <c r="AB18" i="9"/>
  <c r="AB37" i="9"/>
  <c r="AB29" i="9"/>
  <c r="AB38" i="9"/>
  <c r="AB17" i="9"/>
  <c r="AB23" i="9"/>
  <c r="AB39" i="9"/>
  <c r="AB34" i="9"/>
  <c r="AB44" i="9"/>
  <c r="AB36" i="9"/>
  <c r="AB11" i="9"/>
  <c r="AB19" i="9"/>
  <c r="AB10" i="9"/>
  <c r="AB15" i="9"/>
  <c r="AB43" i="9"/>
  <c r="AB27" i="9"/>
  <c r="AB12" i="9"/>
  <c r="AB45" i="9"/>
  <c r="AB24" i="9"/>
  <c r="AB28" i="9"/>
  <c r="AB22" i="9"/>
  <c r="AB16" i="9"/>
  <c r="AB33" i="9"/>
  <c r="R42" i="9"/>
  <c r="AF34" i="41"/>
  <c r="AF35" i="41"/>
  <c r="O16" i="12"/>
  <c r="U42" i="9"/>
  <c r="P26" i="9"/>
  <c r="P6" i="9"/>
  <c r="Q6" i="41"/>
  <c r="P6" i="10"/>
  <c r="P18" i="9"/>
  <c r="P39" i="9"/>
  <c r="P37" i="9"/>
  <c r="P11" i="9"/>
  <c r="P34" i="9"/>
  <c r="P16" i="9"/>
  <c r="P35" i="9"/>
  <c r="P36" i="9"/>
  <c r="P44" i="9"/>
  <c r="P29" i="9"/>
  <c r="P38" i="9"/>
  <c r="P23" i="9"/>
  <c r="P27" i="9"/>
  <c r="P28" i="9"/>
  <c r="P33" i="9"/>
  <c r="P30" i="9"/>
  <c r="P17" i="9"/>
  <c r="P24" i="9"/>
  <c r="P46" i="9"/>
  <c r="P40" i="9"/>
  <c r="P43" i="9"/>
  <c r="P45" i="9"/>
  <c r="P10" i="9"/>
  <c r="P12" i="9"/>
  <c r="P19" i="9"/>
  <c r="P22" i="9"/>
  <c r="P15" i="9"/>
  <c r="AA34" i="41"/>
  <c r="AA35" i="41"/>
  <c r="L14" i="9"/>
  <c r="L6" i="10"/>
  <c r="M6" i="41"/>
  <c r="L6" i="9"/>
  <c r="L39" i="9"/>
  <c r="L34" i="9"/>
  <c r="L30" i="9"/>
  <c r="L36" i="9"/>
  <c r="L44" i="9"/>
  <c r="L38" i="9"/>
  <c r="L37" i="9"/>
  <c r="L40" i="9"/>
  <c r="L16" i="9"/>
  <c r="L15" i="9"/>
  <c r="L28" i="9"/>
  <c r="L17" i="9"/>
  <c r="L24" i="9"/>
  <c r="L29" i="9"/>
  <c r="L10" i="9"/>
  <c r="L18" i="9"/>
  <c r="L45" i="9"/>
  <c r="L43" i="9"/>
  <c r="L11" i="9"/>
  <c r="L19" i="9"/>
  <c r="L27" i="9"/>
  <c r="L35" i="9"/>
  <c r="L23" i="9"/>
  <c r="L12" i="9"/>
  <c r="L46" i="9"/>
  <c r="L22" i="9"/>
  <c r="L33" i="9"/>
  <c r="I14" i="9"/>
  <c r="I6" i="10"/>
  <c r="I6" i="9"/>
  <c r="J6" i="41"/>
  <c r="I36" i="9"/>
  <c r="I30" i="9"/>
  <c r="I16" i="9"/>
  <c r="I29" i="9"/>
  <c r="I45" i="9"/>
  <c r="I24" i="9"/>
  <c r="I40" i="9"/>
  <c r="I38" i="9"/>
  <c r="I39" i="9"/>
  <c r="I34" i="9"/>
  <c r="I37" i="9"/>
  <c r="I18" i="9"/>
  <c r="I28" i="9"/>
  <c r="I15" i="9"/>
  <c r="I43" i="9"/>
  <c r="I27" i="9"/>
  <c r="I22" i="9"/>
  <c r="I44" i="9"/>
  <c r="I33" i="9"/>
  <c r="I17" i="9"/>
  <c r="I46" i="9"/>
  <c r="I35" i="9"/>
  <c r="I10" i="9"/>
  <c r="I23" i="9"/>
  <c r="I12" i="9"/>
  <c r="I11" i="9"/>
  <c r="AC16" i="12"/>
  <c r="AF42" i="9"/>
  <c r="U7" i="10"/>
  <c r="AF28" i="41"/>
  <c r="AF29" i="41"/>
  <c r="AD21" i="9"/>
  <c r="AE6" i="41"/>
  <c r="AD6" i="9"/>
  <c r="AD6" i="10"/>
  <c r="AD46" i="9"/>
  <c r="AD38" i="9"/>
  <c r="AD18" i="9"/>
  <c r="AD17" i="9"/>
  <c r="AD36" i="9"/>
  <c r="AD45" i="9"/>
  <c r="AD34" i="9"/>
  <c r="AD44" i="9"/>
  <c r="AD39" i="9"/>
  <c r="AD37" i="9"/>
  <c r="AD29" i="9"/>
  <c r="AD33" i="9"/>
  <c r="AD19" i="9"/>
  <c r="AD24" i="9"/>
  <c r="AD22" i="9"/>
  <c r="AD11" i="9"/>
  <c r="AD43" i="9"/>
  <c r="AD30" i="9"/>
  <c r="AD23" i="9"/>
  <c r="AD15" i="9"/>
  <c r="AD10" i="9"/>
  <c r="AD12" i="9"/>
  <c r="AD28" i="9"/>
  <c r="AD27" i="9"/>
  <c r="AD16" i="9"/>
  <c r="AD35" i="9"/>
  <c r="AD40" i="9"/>
  <c r="T32" i="9"/>
  <c r="N14" i="9"/>
  <c r="N6" i="9"/>
  <c r="O6" i="41"/>
  <c r="N6" i="10"/>
  <c r="N44" i="9"/>
  <c r="N45" i="9"/>
  <c r="N34" i="9"/>
  <c r="N24" i="9"/>
  <c r="N35" i="9"/>
  <c r="N37" i="9"/>
  <c r="N36" i="9"/>
  <c r="N38" i="9"/>
  <c r="N12" i="9"/>
  <c r="N17" i="9"/>
  <c r="N39" i="9"/>
  <c r="N16" i="9"/>
  <c r="N46" i="9"/>
  <c r="N11" i="9"/>
  <c r="N15" i="9"/>
  <c r="N28" i="9"/>
  <c r="N33" i="9"/>
  <c r="N19" i="9"/>
  <c r="N18" i="9"/>
  <c r="N30" i="9"/>
  <c r="N27" i="9"/>
  <c r="N40" i="9"/>
  <c r="N29" i="9"/>
  <c r="N43" i="9"/>
  <c r="N22" i="9"/>
  <c r="N23" i="9"/>
  <c r="N10" i="9"/>
  <c r="K32" i="9"/>
  <c r="K6" i="9"/>
  <c r="L6" i="41"/>
  <c r="K6" i="10"/>
  <c r="K46" i="9"/>
  <c r="K36" i="9"/>
  <c r="K12" i="9"/>
  <c r="K34" i="9"/>
  <c r="K35" i="9"/>
  <c r="K39" i="9"/>
  <c r="K37" i="9"/>
  <c r="K44" i="9"/>
  <c r="K40" i="9"/>
  <c r="K17" i="9"/>
  <c r="K38" i="9"/>
  <c r="K11" i="9"/>
  <c r="K16" i="9"/>
  <c r="K29" i="9"/>
  <c r="K28" i="9"/>
  <c r="K43" i="9"/>
  <c r="K24" i="9"/>
  <c r="K33" i="9"/>
  <c r="K23" i="9"/>
  <c r="K22" i="9"/>
  <c r="K45" i="9"/>
  <c r="K19" i="9"/>
  <c r="K30" i="9"/>
  <c r="K10" i="9"/>
  <c r="K18" i="9"/>
  <c r="K15" i="9"/>
  <c r="K27" i="9"/>
  <c r="S9" i="9"/>
  <c r="W9" i="9"/>
  <c r="P7" i="10"/>
  <c r="X7" i="10"/>
  <c r="AC34" i="41"/>
  <c r="AC35" i="41"/>
  <c r="T42" i="9"/>
  <c r="Q21" i="9"/>
  <c r="Q6" i="10"/>
  <c r="R6" i="41"/>
  <c r="Q6" i="9"/>
  <c r="Q35" i="9"/>
  <c r="Q37" i="9"/>
  <c r="Q34" i="9"/>
  <c r="Q44" i="9"/>
  <c r="Q40" i="9"/>
  <c r="Q39" i="9"/>
  <c r="Q23" i="9"/>
  <c r="Q38" i="9"/>
  <c r="Q45" i="9"/>
  <c r="Q36" i="9"/>
  <c r="Q16" i="9"/>
  <c r="Q17" i="9"/>
  <c r="Q18" i="9"/>
  <c r="Q22" i="9"/>
  <c r="Q10" i="9"/>
  <c r="Q29" i="9"/>
  <c r="Q33" i="9"/>
  <c r="Q27" i="9"/>
  <c r="Q12" i="9"/>
  <c r="Q15" i="9"/>
  <c r="Q24" i="9"/>
  <c r="Q11" i="9"/>
  <c r="Q19" i="9"/>
  <c r="Q43" i="9"/>
  <c r="Q28" i="9"/>
  <c r="Q46" i="9"/>
  <c r="Q30" i="9"/>
  <c r="AD34" i="41"/>
  <c r="AD35" i="41"/>
  <c r="AG26" i="9"/>
  <c r="AH6" i="41"/>
  <c r="AG6" i="10"/>
  <c r="AG6" i="9"/>
  <c r="AG28" i="9"/>
  <c r="AG38" i="9"/>
  <c r="AG44" i="9"/>
  <c r="AG39" i="9"/>
  <c r="AG40" i="9"/>
  <c r="AG23" i="9"/>
  <c r="AG36" i="9"/>
  <c r="AG37" i="9"/>
  <c r="AG34" i="9"/>
  <c r="AG29" i="9"/>
  <c r="AG12" i="9"/>
  <c r="AG24" i="9"/>
  <c r="AG33" i="9"/>
  <c r="AG27" i="9"/>
  <c r="AG15" i="9"/>
  <c r="AG10" i="9"/>
  <c r="AG19" i="9"/>
  <c r="AG45" i="9"/>
  <c r="AG35" i="9"/>
  <c r="AG46" i="9"/>
  <c r="AG22" i="9"/>
  <c r="AG18" i="9"/>
  <c r="AG17" i="9"/>
  <c r="AG43" i="9"/>
  <c r="AG16" i="9"/>
  <c r="AG11" i="9"/>
  <c r="AG30" i="9"/>
  <c r="E9" i="9"/>
  <c r="E6" i="9"/>
  <c r="E6" i="10"/>
  <c r="F6" i="41"/>
  <c r="E35" i="9"/>
  <c r="E12" i="9"/>
  <c r="E36" i="9"/>
  <c r="E40" i="9"/>
  <c r="E44" i="9"/>
  <c r="E37" i="9"/>
  <c r="E39" i="9"/>
  <c r="E38" i="9"/>
  <c r="E11" i="9"/>
  <c r="E34" i="9"/>
  <c r="E46" i="9"/>
  <c r="E18" i="9"/>
  <c r="E15" i="9"/>
  <c r="E28" i="9"/>
  <c r="E16" i="9"/>
  <c r="E30" i="9"/>
  <c r="E29" i="9"/>
  <c r="E45" i="9"/>
  <c r="E33" i="9"/>
  <c r="E19" i="9"/>
  <c r="E23" i="9"/>
  <c r="E24" i="9"/>
  <c r="E10" i="9"/>
  <c r="E27" i="9"/>
  <c r="E17" i="9"/>
  <c r="E43" i="9"/>
  <c r="E22" i="9"/>
  <c r="E16" i="12"/>
  <c r="AH14" i="9"/>
  <c r="AG34" i="41"/>
  <c r="AG35" i="41"/>
  <c r="O32" i="9"/>
  <c r="AC14" i="9"/>
  <c r="AC6" i="10"/>
  <c r="AD6" i="41"/>
  <c r="AC6" i="9"/>
  <c r="AC30" i="9"/>
  <c r="AC37" i="9"/>
  <c r="AC44" i="9"/>
  <c r="AC39" i="9"/>
  <c r="AC38" i="9"/>
  <c r="AC45" i="9"/>
  <c r="AC34" i="9"/>
  <c r="AC40" i="9"/>
  <c r="AC11" i="9"/>
  <c r="AC23" i="9"/>
  <c r="AC36" i="9"/>
  <c r="AC12" i="9"/>
  <c r="AC10" i="9"/>
  <c r="AC29" i="9"/>
  <c r="AC43" i="9"/>
  <c r="AC35" i="9"/>
  <c r="AC15" i="9"/>
  <c r="AC22" i="9"/>
  <c r="AC33" i="9"/>
  <c r="AC46" i="9"/>
  <c r="AC24" i="9"/>
  <c r="AC19" i="9"/>
  <c r="AC17" i="9"/>
  <c r="AC16" i="9"/>
  <c r="AC28" i="9"/>
  <c r="AC18" i="9"/>
  <c r="AC27" i="9"/>
  <c r="E32" i="9"/>
  <c r="O9" i="9"/>
  <c r="AH9" i="9"/>
  <c r="Y14" i="9"/>
  <c r="AG16" i="12"/>
  <c r="Q32" i="9"/>
  <c r="AI7" i="10"/>
  <c r="AL7" i="10"/>
  <c r="AJ7" i="10"/>
  <c r="AK7" i="10"/>
  <c r="C7" i="10"/>
  <c r="I21" i="9"/>
  <c r="Z9" i="9"/>
  <c r="AA6" i="41"/>
  <c r="Z6" i="10"/>
  <c r="Z6" i="9"/>
  <c r="Z46" i="9"/>
  <c r="Z36" i="9"/>
  <c r="Z30" i="9"/>
  <c r="Z45" i="9"/>
  <c r="Z38" i="9"/>
  <c r="Z40" i="9"/>
  <c r="Z34" i="9"/>
  <c r="Z39" i="9"/>
  <c r="Z12" i="9"/>
  <c r="Z44" i="9"/>
  <c r="Z37" i="9"/>
  <c r="Z23" i="9"/>
  <c r="Z15" i="9"/>
  <c r="Z29" i="9"/>
  <c r="Z18" i="9"/>
  <c r="Z24" i="9"/>
  <c r="Z28" i="9"/>
  <c r="Z35" i="9"/>
  <c r="Z33" i="9"/>
  <c r="Z11" i="9"/>
  <c r="Z10" i="9"/>
  <c r="Z43" i="9"/>
  <c r="Z19" i="9"/>
  <c r="Z17" i="9"/>
  <c r="Z27" i="9"/>
  <c r="Z22" i="9"/>
  <c r="Z16" i="9"/>
  <c r="R32" i="9"/>
  <c r="I7" i="10"/>
  <c r="AB21" i="9"/>
  <c r="V16" i="12"/>
  <c r="AE7" i="10"/>
  <c r="Z21" i="9"/>
  <c r="AC26" i="9"/>
  <c r="AI41" i="41"/>
  <c r="AI42" i="41"/>
  <c r="AD11" i="14"/>
  <c r="AG28" i="41"/>
  <c r="AG29" i="41"/>
  <c r="T21" i="9"/>
  <c r="AA41" i="41"/>
  <c r="AA42" i="41"/>
  <c r="AE16" i="12"/>
  <c r="V21" i="9"/>
  <c r="F21" i="9"/>
  <c r="AH34" i="41"/>
  <c r="AH35" i="41"/>
  <c r="J14" i="9"/>
  <c r="J6" i="9"/>
  <c r="K6" i="41"/>
  <c r="J6" i="10"/>
  <c r="J35" i="9"/>
  <c r="J16" i="9"/>
  <c r="J37" i="9"/>
  <c r="J34" i="9"/>
  <c r="J38" i="9"/>
  <c r="J23" i="9"/>
  <c r="J39" i="9"/>
  <c r="J40" i="9"/>
  <c r="J36" i="9"/>
  <c r="J10" i="9"/>
  <c r="J30" i="9"/>
  <c r="J29" i="9"/>
  <c r="J45" i="9"/>
  <c r="J22" i="9"/>
  <c r="J12" i="9"/>
  <c r="J44" i="9"/>
  <c r="J43" i="9"/>
  <c r="J15" i="9"/>
  <c r="J18" i="9"/>
  <c r="J24" i="9"/>
  <c r="J33" i="9"/>
  <c r="J17" i="9"/>
  <c r="J11" i="9"/>
  <c r="J28" i="9"/>
  <c r="J19" i="9"/>
  <c r="J46" i="9"/>
  <c r="J27" i="9"/>
  <c r="AF41" i="41"/>
  <c r="AF42" i="41"/>
  <c r="AA42" i="9"/>
  <c r="AA6" i="9"/>
  <c r="AA6" i="10"/>
  <c r="AB6" i="41"/>
  <c r="AA34" i="9"/>
  <c r="AA36" i="9"/>
  <c r="AA39" i="9"/>
  <c r="AA23" i="9"/>
  <c r="AA44" i="9"/>
  <c r="AA16" i="9"/>
  <c r="AA29" i="9"/>
  <c r="AA38" i="9"/>
  <c r="AA45" i="9"/>
  <c r="AA37" i="9"/>
  <c r="AA19" i="9"/>
  <c r="AA27" i="9"/>
  <c r="AA12" i="9"/>
  <c r="AA35" i="9"/>
  <c r="AA10" i="9"/>
  <c r="AA43" i="9"/>
  <c r="AA24" i="9"/>
  <c r="AA30" i="9"/>
  <c r="AA18" i="9"/>
  <c r="AA22" i="9"/>
  <c r="AA33" i="9"/>
  <c r="AA15" i="9"/>
  <c r="AA46" i="9"/>
  <c r="AA17" i="9"/>
  <c r="AA40" i="9"/>
  <c r="AA11" i="9"/>
  <c r="AA28" i="9"/>
  <c r="F16" i="12"/>
  <c r="AB34" i="41"/>
  <c r="AB35" i="41"/>
  <c r="O26" i="9"/>
  <c r="AH41" i="41"/>
  <c r="AH42" i="41"/>
  <c r="T26" i="9"/>
  <c r="O14" i="9"/>
  <c r="AF9" i="9"/>
  <c r="AF6" i="10"/>
  <c r="AG6" i="41"/>
  <c r="AF6" i="9"/>
  <c r="AF38" i="9"/>
  <c r="AF34" i="9"/>
  <c r="AF11" i="9"/>
  <c r="AF40" i="9"/>
  <c r="AF46" i="9"/>
  <c r="AF37" i="9"/>
  <c r="AF17" i="9"/>
  <c r="AF39" i="9"/>
  <c r="AF36" i="9"/>
  <c r="AF18" i="9"/>
  <c r="AF12" i="9"/>
  <c r="AF30" i="9"/>
  <c r="AF10" i="9"/>
  <c r="AF16" i="9"/>
  <c r="AF19" i="9"/>
  <c r="AF15" i="9"/>
  <c r="AF33" i="9"/>
  <c r="AF43" i="9"/>
  <c r="AF27" i="9"/>
  <c r="AF23" i="9"/>
  <c r="AF24" i="9"/>
  <c r="AF29" i="9"/>
  <c r="AF45" i="9"/>
  <c r="AF28" i="9"/>
  <c r="AF22" i="9"/>
  <c r="AF44" i="9"/>
  <c r="AF35" i="9"/>
  <c r="AI34" i="41"/>
  <c r="AI35" i="41"/>
  <c r="F14" i="9"/>
  <c r="AE21" i="9"/>
  <c r="R21" i="9"/>
  <c r="AF11" i="14"/>
  <c r="Y21" i="9"/>
  <c r="AE28" i="41"/>
  <c r="AE29" i="41"/>
  <c r="N16" i="12"/>
  <c r="H42" i="9"/>
  <c r="I6" i="41"/>
  <c r="H6" i="9"/>
  <c r="H6" i="10"/>
  <c r="H46" i="9"/>
  <c r="H34" i="9"/>
  <c r="H16" i="9"/>
  <c r="H23" i="9"/>
  <c r="H24" i="9"/>
  <c r="H39" i="9"/>
  <c r="H12" i="9"/>
  <c r="H11" i="9"/>
  <c r="H36" i="9"/>
  <c r="H18" i="9"/>
  <c r="H38" i="9"/>
  <c r="H17" i="9"/>
  <c r="H45" i="9"/>
  <c r="H37" i="9"/>
  <c r="H27" i="9"/>
  <c r="H10" i="9"/>
  <c r="H35" i="9"/>
  <c r="H28" i="9"/>
  <c r="H22" i="9"/>
  <c r="H30" i="9"/>
  <c r="H43" i="9"/>
  <c r="H15" i="9"/>
  <c r="H40" i="9"/>
  <c r="H44" i="9"/>
  <c r="H19" i="9"/>
  <c r="H29" i="9"/>
  <c r="H33" i="9"/>
  <c r="AB32" i="9"/>
  <c r="Z26" i="9"/>
  <c r="V14" i="9"/>
  <c r="F32" i="9"/>
  <c r="I26" i="9" l="1"/>
  <c r="I19" i="9"/>
  <c r="I42" i="9"/>
  <c r="I32" i="9"/>
  <c r="AN149" i="14"/>
  <c r="AN137" i="14" s="1"/>
  <c r="AN28" i="14" s="1"/>
  <c r="AN17" i="33" s="1"/>
  <c r="AP149" i="14"/>
  <c r="AP137" i="14" s="1"/>
  <c r="AP113" i="14" s="1"/>
  <c r="AP89" i="14" s="1"/>
  <c r="AP28" i="14" s="1"/>
  <c r="AP17" i="33" s="1"/>
  <c r="AR149" i="14"/>
  <c r="AR137" i="14" s="1"/>
  <c r="AR113" i="14" s="1"/>
  <c r="AR89" i="14" s="1"/>
  <c r="AR65" i="14" s="1"/>
  <c r="AR28" i="14" s="1"/>
  <c r="AQ149" i="14"/>
  <c r="AQ137" i="14" s="1"/>
  <c r="AQ113" i="14" s="1"/>
  <c r="AQ89" i="14" s="1"/>
  <c r="AQ65" i="14" s="1"/>
  <c r="AQ28" i="14" s="1"/>
  <c r="AQ17" i="33" s="1"/>
  <c r="AO149" i="14"/>
  <c r="AO137" i="14" s="1"/>
  <c r="AO113" i="14" s="1"/>
  <c r="AO28" i="14" s="1"/>
  <c r="AO17" i="33" s="1"/>
  <c r="AR30" i="14" l="1"/>
  <c r="AR17" i="33"/>
</calcChain>
</file>

<file path=xl/sharedStrings.xml><?xml version="1.0" encoding="utf-8"?>
<sst xmlns="http://schemas.openxmlformats.org/spreadsheetml/2006/main" count="1170" uniqueCount="197">
  <si>
    <t>CRF 1.A.1 - Energiewirtschaft</t>
  </si>
  <si>
    <t>CRF 1.B - Diffuse Emissionen aus Brennstoffen</t>
  </si>
  <si>
    <t>CRF 1.A.3.e - Erdgasverdichter</t>
  </si>
  <si>
    <t>Summe</t>
  </si>
  <si>
    <t>CRF 1.A.3.a - nationaler Luftverkehr</t>
  </si>
  <si>
    <t>CRF 1.A.3.b - Straßenverkehr</t>
  </si>
  <si>
    <t>CRF 1.A.3.c - Schienenverkehr</t>
  </si>
  <si>
    <t>CRF 1.A.3.d - Küsten- &amp; Binnenschifffahrt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</si>
  <si>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</si>
  <si>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</si>
  <si>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</si>
  <si>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</si>
  <si>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</si>
  <si>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</si>
  <si>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4 - Verkehr</t>
  </si>
  <si>
    <t>5 - Landwirtschaft</t>
  </si>
  <si>
    <t>6 - Abfallwirtschaft und Sonstiges</t>
  </si>
  <si>
    <t>CRF 1.A.4.b - Haushalte</t>
  </si>
  <si>
    <t>CRF 1.A.4.c - Stationäre &amp; mobile Feuerung</t>
  </si>
  <si>
    <t>CRF 5.A - Abfalldeponierung</t>
  </si>
  <si>
    <t>CRF 5.D - Abwasserbehandlung</t>
  </si>
  <si>
    <t>Gesamtemissionen</t>
  </si>
  <si>
    <t>ohne LULUCF</t>
  </si>
  <si>
    <t>mit LULUCF</t>
  </si>
  <si>
    <t>CRF 1.A.2 - Verarbeitendes Gewerbe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</si>
  <si>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</si>
  <si>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</si>
  <si>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</si>
  <si>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</si>
  <si>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</si>
  <si>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</si>
  <si>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</si>
  <si>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</si>
  <si>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</si>
  <si>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</si>
  <si>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</si>
  <si>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</si>
  <si>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</si>
  <si>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</si>
  <si>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CO2-äquivalent]</t>
  </si>
  <si>
    <t>Differenz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</si>
  <si>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</si>
  <si>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</si>
  <si>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</si>
  <si>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</si>
  <si>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</si>
  <si>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</si>
  <si>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</si>
  <si>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</si>
  <si>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</si>
  <si>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</si>
  <si>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</si>
  <si>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</si>
  <si>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</si>
  <si>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</si>
  <si>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</si>
  <si>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</si>
  <si>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</si>
  <si>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</si>
  <si>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</si>
  <si>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</si>
  <si>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</si>
  <si>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Zielpfad</t>
  </si>
  <si>
    <r>
      <t>Emissionen in Mio. t CO</t>
    </r>
    <r>
      <rPr>
        <vertAlign val="subscript"/>
        <sz val="10"/>
        <color rgb="FF080808"/>
        <rFont val="Cambria"/>
        <family val="1"/>
        <scheme val="major"/>
      </rPr>
      <t>₂</t>
    </r>
    <r>
      <rPr>
        <sz val="10"/>
        <color rgb="FF080808"/>
        <rFont val="Cambria"/>
        <family val="1"/>
        <scheme val="major"/>
      </rPr>
      <t>-äquivalent</t>
    </r>
  </si>
  <si>
    <t>Emissionen in Mio. t CO₂-äquivalent</t>
  </si>
  <si>
    <t>Entwicklung und Zielerreichung der Treibhausgasemissionen in Deutschland</t>
  </si>
  <si>
    <t xml:space="preserve">Sektor </t>
  </si>
  <si>
    <t>F-Gase</t>
  </si>
  <si>
    <t>2- Industrie</t>
  </si>
  <si>
    <t>CRF 1.A.4.a - Gewerbe, Handel, Dienstleistung (ohne Militär und Landwirtschaft)</t>
  </si>
  <si>
    <t>CRF 1.A.5 - Militär</t>
  </si>
  <si>
    <t>CRF 5.B - biologische Behandlung von festen Abfällen</t>
  </si>
  <si>
    <t>7 - LULUCF</t>
  </si>
  <si>
    <t>Sektor</t>
  </si>
  <si>
    <t>2050 (-95%)</t>
  </si>
  <si>
    <t>in der Abgrenzung der Sektoren des Klimaschutzgesetzes (KSG)</t>
  </si>
  <si>
    <t>Sektor des Klimaschutzgesetzes (KSG)</t>
  </si>
  <si>
    <t>CRF 2.D-H - übrige Prozesse und Produktverwendungen</t>
  </si>
  <si>
    <t>Kohlendioxid (ohne LULUCF)</t>
  </si>
  <si>
    <t>Methan  (ohne LULUCF)</t>
  </si>
  <si>
    <t>Lachgas  (ohne LULUCF)</t>
  </si>
  <si>
    <t>Übersicht nach Treibhausgasen</t>
  </si>
  <si>
    <t>Gesamtemissionen (ohne LULUCF)</t>
  </si>
  <si>
    <t>abs.</t>
  </si>
  <si>
    <t>%</t>
  </si>
  <si>
    <t>Treibhausgas-Emissionen
[tausend Tonnen CO2-äquivalent]</t>
  </si>
  <si>
    <t>Unsicherheiten der Treibhausgasemissionen in Deutschland</t>
  </si>
  <si>
    <t>Emissionen</t>
  </si>
  <si>
    <t>Unsicherheiten</t>
  </si>
  <si>
    <t>[Mt]</t>
  </si>
  <si>
    <t>Aktivitätsraten
[%]</t>
  </si>
  <si>
    <t>Emissions-faktoren
[%]</t>
  </si>
  <si>
    <t>Emissionen
[±Mt]</t>
  </si>
  <si>
    <t>Emissionen
 [%]</t>
  </si>
  <si>
    <t>davon ETS</t>
  </si>
  <si>
    <t>davon Nicht-ETS</t>
  </si>
  <si>
    <t>Anteil ETS</t>
  </si>
  <si>
    <t>KSG-Ziel**
2030</t>
  </si>
  <si>
    <t>* Die Aufteilung der Emissionen weicht von der UN-Berichterstattung ab, die Gesamtemissionen sind identisch
** entsprechend der Novelle des Bundes-KSG vom 12.05.2021, Jahre 2022-2030 angepasst an Über- &amp; Unterschreitungen</t>
  </si>
  <si>
    <t>^</t>
  </si>
  <si>
    <t>Anpassung der Emissionsmengen an Über- und Unterschreitungen 2021</t>
  </si>
  <si>
    <t>jährliche Anpassung der Emissionsmengen in kt CO2-Äquivalenten)</t>
  </si>
  <si>
    <t>CRF 1A1</t>
  </si>
  <si>
    <t>CRF 1A3e</t>
  </si>
  <si>
    <t>CRF 1B</t>
  </si>
  <si>
    <t>CRF 1A2</t>
  </si>
  <si>
    <t>CRF 2</t>
  </si>
  <si>
    <t>CRF 1A4a</t>
  </si>
  <si>
    <t>CRF 1A4b</t>
  </si>
  <si>
    <t>CRF 1A5</t>
  </si>
  <si>
    <t>Treibhausgas-Emissionen des Europäischen Emissionshandels (ETS)* ab 2013
[tausend Tonnen CO2-äquivalent]</t>
  </si>
  <si>
    <t>* EU-ETS-Anteile an CRF Kategorien basierend auf Auswertung für Bericht nach Art. 21 Emissionshandelsrichtlinie, jeweils jahresspezifisch angepasste Methodik</t>
  </si>
  <si>
    <t>davon im ETS ***</t>
  </si>
  <si>
    <t>Fußnote1:</t>
  </si>
  <si>
    <t>Fußnote2:</t>
  </si>
  <si>
    <t>*** EU-ETS-Anteile an CRF Kategorien basierend auf Auswertung für Bericht nach Art. 21 Emissionshandelsrichtlinie, jeweils jahresspezifisch angepasste Methodik</t>
  </si>
  <si>
    <t>davon ETS ***</t>
  </si>
  <si>
    <t>im Sektor Energiewirtschaft des Klimaschutzgesetzes (KSG) *</t>
  </si>
  <si>
    <t>im Sektor Industrie des Klimaschutzgesetzes (KSG) *</t>
  </si>
  <si>
    <t>im Sektor Gebäude des Klimaschutzgesetzes (KSG) *</t>
  </si>
  <si>
    <t>im Sektor Verkehr des Klimaschutzgesetzes (KSG) *</t>
  </si>
  <si>
    <t>im Sektor Landwirtschaft des Klimaschutzgesetzes (KSG) *</t>
  </si>
  <si>
    <t>im Sektor Abfallwirtschaft und Sonstiges des Klimaschutzgesetzes (KSG) *</t>
  </si>
  <si>
    <t>in der Abgrenzung der Sektoren des Klimaschutzgesetzes (KSG) *</t>
  </si>
  <si>
    <t>7 - Landnutzung, Landnutzungsänderung und Forstwirtschaft</t>
  </si>
  <si>
    <t>CRF 4.A - Wälder</t>
  </si>
  <si>
    <t>CRF 4.B - Ackerland</t>
  </si>
  <si>
    <t>CRF 4.G - Holzprodukte</t>
  </si>
  <si>
    <t>Emissionen von F-Gasen [tausend Tonnen CO2-äquivalent]</t>
  </si>
  <si>
    <t>CRF 4.C - Grünland</t>
  </si>
  <si>
    <t>CRF 4.D - Feuchtgebiete</t>
  </si>
  <si>
    <t>CRF 4.E - Siedlungen</t>
  </si>
  <si>
    <t>Anpassung der Emissionsmengen an Über- und Unterschreitungen 2022</t>
  </si>
  <si>
    <t>Angepasste Emissionsmengen für 2021</t>
  </si>
  <si>
    <t>aus KSG Novelle</t>
  </si>
  <si>
    <t>An. EM 2021</t>
  </si>
  <si>
    <t>EM 2021 + An 2022</t>
  </si>
  <si>
    <t>Angepasste Emissionsmengen für 2022</t>
  </si>
  <si>
    <t>Emissionsmengen</t>
  </si>
  <si>
    <t>Anpassung absolut</t>
  </si>
  <si>
    <t>Emissionsmengen 2021</t>
  </si>
  <si>
    <t>aktueller Zielpfad**</t>
  </si>
  <si>
    <t>TYPE=ETS-EmB_CO2eq</t>
  </si>
  <si>
    <t>Substance=CO2</t>
  </si>
  <si>
    <t>Category=Categories~1A1</t>
  </si>
  <si>
    <t>Category=Categories~1A3e</t>
  </si>
  <si>
    <t>Category=Categories~1B</t>
  </si>
  <si>
    <t>Category=Categories~1A2</t>
  </si>
  <si>
    <t>Category=Categories~1A4a</t>
  </si>
  <si>
    <t>Category=Categories~1A4b</t>
  </si>
  <si>
    <t>Category=Categories~1A5</t>
  </si>
  <si>
    <t>Category=Categories~2_INDUSTRY</t>
  </si>
  <si>
    <t>GWP: 1</t>
  </si>
  <si>
    <t>GWP: 28</t>
  </si>
  <si>
    <t>GWP: 265</t>
  </si>
  <si>
    <t>Veröffentlichte Emissionen Berichtsjahr (fest außer VJS-Jahr)</t>
  </si>
  <si>
    <t>Anpassung der Emissionsmengen an Über- und Unterschreitungen 2029</t>
  </si>
  <si>
    <t>jährliche Anpassung der Emissionsmengen in kt CO2-Äquivalenten</t>
  </si>
  <si>
    <t>Angepasste Emissionsmengen für 2028</t>
  </si>
  <si>
    <t>Anpassung der Emissionsmengen an Über- und Unterschreitungen 2028</t>
  </si>
  <si>
    <t>Angepasste Emissionsmengen für 2027</t>
  </si>
  <si>
    <t>Anpassung der Emissionsmengen an Über- und Unterschreitungen 2027</t>
  </si>
  <si>
    <t>Angepasste Emissionsmengen für 2026</t>
  </si>
  <si>
    <t>Anpassung der Emissionsmengen an Über- und Unterschreitungen 2026</t>
  </si>
  <si>
    <t>Angepasste Emissionsmengen für 2025</t>
  </si>
  <si>
    <t>Anpassung der Emissionsmengen an Über- und Unterschreitungen 2025</t>
  </si>
  <si>
    <t>Angepasste Emissionsmengen für 2024</t>
  </si>
  <si>
    <t>Anpassung der Emissionsmengen an Über- und Unterschreitungen 2024</t>
  </si>
  <si>
    <t>Angepasste Emissionsmengen für 2023</t>
  </si>
  <si>
    <t>Anpassung der Emissionsmengen an Über- und Unterschreitungen 2023</t>
  </si>
  <si>
    <t>* Die Aufteilung der Emissionen weicht von der UN-Berichterstattung ab, die Gesamtemissionen sind identisch
** entsprechend der Novelle des Bundes-KSG vom 12.05.2021</t>
  </si>
  <si>
    <t>0 - JEGM</t>
  </si>
  <si>
    <t>Angepasste Emissionshöchstmengen</t>
  </si>
  <si>
    <t>Emissionsgesamtmengen</t>
  </si>
  <si>
    <t>Emissionsmengen 2023</t>
  </si>
  <si>
    <t>Emissionsmengen 2024</t>
  </si>
  <si>
    <t>Emissionsmengen 2025</t>
  </si>
  <si>
    <t>Emissionsmengen 2026</t>
  </si>
  <si>
    <t>Emissionsmengen 2027</t>
  </si>
  <si>
    <t>Emissionsmengen 2028</t>
  </si>
  <si>
    <t>Emissionsmengen 2029</t>
  </si>
  <si>
    <t>Emissionsgesamtmengen 2023</t>
  </si>
  <si>
    <t>Emissionsgesamtmengen 2024</t>
  </si>
  <si>
    <t>Emissionsgesamtmengen 2027</t>
  </si>
  <si>
    <t>Emissionsgesamtmengen 2026</t>
  </si>
  <si>
    <t>Emissionsgesamtmengen 2029</t>
  </si>
  <si>
    <t>theoretische Ziele bas. Auf JEGM</t>
  </si>
  <si>
    <t>1 - Energiewirtschaft (bas. auf JEGM)</t>
  </si>
  <si>
    <t>Maximale Emissionsmengen laut novelliertem KSG</t>
  </si>
  <si>
    <t>0 - JEGM Ursprungspfad</t>
  </si>
  <si>
    <t>lineare Interpolation</t>
  </si>
  <si>
    <t>JEGM aus Summe der Sektoremissionen</t>
  </si>
  <si>
    <t>Differenz 2025 zum Vorjahr</t>
  </si>
  <si>
    <t>2025 Schätzung</t>
  </si>
  <si>
    <t>Vergleich der Vorjahresschätzung für das Jahr 2025 mit den Inventardaten für das Jahr 2024</t>
  </si>
  <si>
    <t>Inventar 2024</t>
  </si>
  <si>
    <t>Vorjahresschätzung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</si>
</sst>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(* #,##0.00_);_(* \(#,##0.00\);_(* &quot;-&quot;??_);_(@_)"/>
    <numFmt numFmtId="165" formatCode="yyyy"/>
    <numFmt numFmtId="166" formatCode="#,##0.0"/>
    <numFmt numFmtId="167" formatCode="0.0%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,##0.00\ &quot;Gg&quot;"/>
    <numFmt numFmtId="187" formatCode="#,##0.00\ &quot;kg&quot;"/>
    <numFmt numFmtId="188" formatCode="#,##0.00\ &quot;kt&quot;"/>
    <numFmt numFmtId="189" formatCode="#,##0.00\ &quot;Stck&quot;"/>
    <numFmt numFmtId="190" formatCode="#,##0.00\ &quot;Stk&quot;"/>
    <numFmt numFmtId="191" formatCode="#,##0.00\ &quot;T.Stk&quot;"/>
    <numFmt numFmtId="192" formatCode="#,##0.00\ &quot;TJ&quot;"/>
    <numFmt numFmtId="193" formatCode="#,##0.00\ &quot;TStk&quot;"/>
    <numFmt numFmtId="194" formatCode="_-* #,##0.00\ [$€]_-;\-* #,##0.00\ [$€]_-;_-* &quot;-&quot;??\ [$€]_-;_-@_-"/>
    <numFmt numFmtId="195" formatCode="#,##0.0000"/>
    <numFmt numFmtId="196" formatCode="&quot;Quelle: Umweltbundesamt &quot;\ dd/mm/yyyy"/>
    <numFmt numFmtId="197" formatCode="&quot;Quelle:&quot;\ @"/>
    <numFmt numFmtId="198" formatCode="\+0.0%;\-0.0%;0.0%"/>
    <numFmt numFmtId="199" formatCode="\+#,##0;\-#,##0;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vertAlign val="subscript"/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8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13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3" fillId="0" borderId="5" applyNumberFormat="0" applyFont="0" applyFill="0" applyBorder="0" applyProtection="0">
      <alignment horizontal="left" vertical="center" indent="2"/>
    </xf>
    <xf numFmtId="49" fontId="13" fillId="0" borderId="6" applyNumberFormat="0" applyFont="0" applyFill="0" applyBorder="0" applyProtection="0">
      <alignment horizontal="left" vertical="center" indent="5"/>
    </xf>
    <xf numFmtId="0" fontId="1" fillId="0" borderId="0"/>
    <xf numFmtId="49" fontId="14" fillId="0" borderId="5" applyNumberFormat="0" applyFill="0" applyBorder="0" applyProtection="0">
      <alignment horizontal="left" vertical="center"/>
    </xf>
    <xf numFmtId="4" fontId="14" fillId="0" borderId="7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3" fillId="0" borderId="5" applyFill="0" applyBorder="0" applyProtection="0">
      <alignment horizontal="right" vertical="center"/>
    </xf>
    <xf numFmtId="0" fontId="16" fillId="5" borderId="0" applyNumberFormat="0" applyFont="0" applyBorder="0" applyAlignment="0" applyProtection="0"/>
    <xf numFmtId="168" fontId="17" fillId="0" borderId="0"/>
    <xf numFmtId="49" fontId="17" fillId="0" borderId="0"/>
    <xf numFmtId="169" fontId="17" fillId="0" borderId="0">
      <alignment horizontal="center"/>
    </xf>
    <xf numFmtId="170" fontId="17" fillId="0" borderId="0"/>
    <xf numFmtId="171" fontId="17" fillId="0" borderId="0"/>
    <xf numFmtId="172" fontId="17" fillId="0" borderId="0"/>
    <xf numFmtId="173" fontId="17" fillId="0" borderId="0"/>
    <xf numFmtId="174" fontId="18" fillId="0" borderId="0"/>
    <xf numFmtId="175" fontId="19" fillId="0" borderId="0"/>
    <xf numFmtId="176" fontId="18" fillId="0" borderId="0"/>
    <xf numFmtId="177" fontId="17" fillId="0" borderId="0"/>
    <xf numFmtId="178" fontId="17" fillId="0" borderId="0"/>
    <xf numFmtId="179" fontId="17" fillId="0" borderId="0"/>
    <xf numFmtId="180" fontId="18" fillId="0" borderId="0"/>
    <xf numFmtId="181" fontId="17" fillId="0" borderId="0">
      <alignment horizontal="center"/>
    </xf>
    <xf numFmtId="182" fontId="17" fillId="0" borderId="0">
      <alignment horizontal="center"/>
    </xf>
    <xf numFmtId="183" fontId="17" fillId="0" borderId="0">
      <alignment horizontal="center"/>
    </xf>
    <xf numFmtId="184" fontId="17" fillId="0" borderId="0">
      <alignment horizontal="center"/>
    </xf>
    <xf numFmtId="185" fontId="17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68" fontId="18" fillId="0" borderId="0"/>
    <xf numFmtId="0" fontId="13" fillId="0" borderId="5" applyNumberFormat="0" applyFill="0" applyAlignment="0" applyProtection="0"/>
    <xf numFmtId="0" fontId="10" fillId="0" borderId="0"/>
    <xf numFmtId="49" fontId="18" fillId="0" borderId="0"/>
    <xf numFmtId="195" fontId="13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21" fillId="0" borderId="0" applyNumberFormat="0">
      <alignment horizontal="right"/>
    </xf>
    <xf numFmtId="164" fontId="10" fillId="0" borderId="0" applyFont="0" applyFill="0" applyBorder="0" applyAlignment="0" applyProtection="0"/>
    <xf numFmtId="0" fontId="10" fillId="15" borderId="0" applyNumberFormat="0" applyFont="0" applyBorder="0" applyAlignment="0" applyProtection="0"/>
    <xf numFmtId="0" fontId="10" fillId="0" borderId="0"/>
    <xf numFmtId="0" fontId="10" fillId="0" borderId="23"/>
    <xf numFmtId="4" fontId="10" fillId="0" borderId="0"/>
    <xf numFmtId="0" fontId="10" fillId="15" borderId="0" applyNumberFormat="0" applyFont="0" applyBorder="0" applyAlignment="0" applyProtection="0"/>
    <xf numFmtId="0" fontId="10" fillId="0" borderId="0" applyNumberFormat="0" applyFont="0" applyFill="0" applyBorder="0" applyProtection="0">
      <alignment horizontal="left" vertical="center" indent="5"/>
    </xf>
    <xf numFmtId="0" fontId="10" fillId="0" borderId="0" applyNumberFormat="0" applyFont="0" applyFill="0" applyBorder="0" applyProtection="0">
      <alignment horizontal="left" vertical="center" indent="2"/>
    </xf>
    <xf numFmtId="0" fontId="10" fillId="0" borderId="0" applyNumberFormat="0" applyFont="0" applyFill="0" applyBorder="0" applyProtection="0">
      <alignment horizontal="left" vertical="center" indent="5"/>
    </xf>
    <xf numFmtId="0" fontId="14" fillId="8" borderId="0" applyBorder="0" applyAlignment="0"/>
    <xf numFmtId="0" fontId="13" fillId="8" borderId="0" applyBorder="0">
      <alignment horizontal="right" vertical="center"/>
    </xf>
    <xf numFmtId="0" fontId="13" fillId="16" borderId="0" applyBorder="0">
      <alignment horizontal="right" vertical="center"/>
    </xf>
    <xf numFmtId="0" fontId="13" fillId="16" borderId="0" applyBorder="0">
      <alignment horizontal="right" vertical="center"/>
    </xf>
    <xf numFmtId="0" fontId="21" fillId="16" borderId="5">
      <alignment horizontal="right" vertical="center"/>
    </xf>
    <xf numFmtId="0" fontId="42" fillId="16" borderId="5">
      <alignment horizontal="right" vertical="center"/>
    </xf>
    <xf numFmtId="0" fontId="21" fillId="17" borderId="5">
      <alignment horizontal="right" vertical="center"/>
    </xf>
    <xf numFmtId="0" fontId="21" fillId="17" borderId="5">
      <alignment horizontal="right" vertical="center"/>
    </xf>
    <xf numFmtId="0" fontId="21" fillId="17" borderId="24">
      <alignment horizontal="right" vertical="center"/>
    </xf>
    <xf numFmtId="0" fontId="21" fillId="17" borderId="6">
      <alignment horizontal="right" vertical="center"/>
    </xf>
    <xf numFmtId="0" fontId="21" fillId="17" borderId="25">
      <alignment horizontal="right" vertical="center"/>
    </xf>
    <xf numFmtId="0" fontId="13" fillId="17" borderId="26">
      <alignment horizontal="left" vertical="center" wrapText="1" indent="2"/>
    </xf>
    <xf numFmtId="0" fontId="13" fillId="0" borderId="26">
      <alignment horizontal="left" vertical="center" wrapText="1" indent="2"/>
    </xf>
    <xf numFmtId="0" fontId="13" fillId="16" borderId="6">
      <alignment horizontal="left" vertical="center"/>
    </xf>
    <xf numFmtId="0" fontId="21" fillId="0" borderId="27">
      <alignment horizontal="left" vertical="top" wrapText="1"/>
    </xf>
    <xf numFmtId="0" fontId="13" fillId="0" borderId="0" applyBorder="0">
      <alignment horizontal="right" vertical="center"/>
    </xf>
    <xf numFmtId="0" fontId="13" fillId="0" borderId="5">
      <alignment horizontal="right" vertical="center"/>
    </xf>
    <xf numFmtId="1" fontId="43" fillId="16" borderId="0" applyBorder="0">
      <alignment horizontal="right" vertical="center"/>
    </xf>
    <xf numFmtId="0" fontId="10" fillId="18" borderId="5"/>
    <xf numFmtId="0" fontId="10" fillId="0" borderId="0"/>
    <xf numFmtId="4" fontId="13" fillId="0" borderId="0" applyFill="0" applyBorder="0" applyProtection="0">
      <alignment horizontal="right" vertical="center"/>
    </xf>
    <xf numFmtId="0" fontId="14" fillId="0" borderId="0" applyNumberFormat="0" applyFill="0" applyBorder="0" applyProtection="0">
      <alignment horizontal="left" vertical="center"/>
    </xf>
    <xf numFmtId="0" fontId="10" fillId="15" borderId="0" applyNumberFormat="0" applyFont="0" applyBorder="0" applyAlignment="0" applyProtection="0"/>
    <xf numFmtId="4" fontId="10" fillId="0" borderId="0"/>
    <xf numFmtId="0" fontId="13" fillId="15" borderId="5"/>
    <xf numFmtId="0" fontId="44" fillId="0" borderId="0" applyNumberFormat="0" applyFill="0" applyBorder="0" applyAlignment="0" applyProtection="0"/>
    <xf numFmtId="4" fontId="10" fillId="0" borderId="0"/>
    <xf numFmtId="0" fontId="1" fillId="0" borderId="0"/>
    <xf numFmtId="4" fontId="10" fillId="0" borderId="0"/>
    <xf numFmtId="164" fontId="10" fillId="0" borderId="0" applyFont="0" applyFill="0" applyBorder="0" applyAlignment="0" applyProtection="0"/>
  </cellStyleXfs>
  <cellXfs count="239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167" fontId="6" fillId="4" borderId="4" xfId="1" applyNumberFormat="1" applyFont="1" applyFill="1" applyBorder="1" applyAlignment="1">
      <alignment horizontal="right" vertical="center"/>
    </xf>
    <xf numFmtId="167" fontId="6" fillId="2" borderId="4" xfId="1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3" fillId="0" borderId="0" xfId="72" applyNumberFormat="1" applyFont="1" applyAlignment="1" applyProtection="1">
      <alignment vertical="center"/>
      <protection locked="0"/>
    </xf>
    <xf numFmtId="0" fontId="22" fillId="0" borderId="0" xfId="0" applyFont="1" applyFill="1"/>
    <xf numFmtId="0" fontId="0" fillId="0" borderId="0" xfId="0" applyFont="1" applyFill="1"/>
    <xf numFmtId="0" fontId="25" fillId="0" borderId="0" xfId="71" applyFont="1" applyBorder="1"/>
    <xf numFmtId="0" fontId="25" fillId="0" borderId="0" xfId="71" applyFont="1"/>
    <xf numFmtId="0" fontId="3" fillId="0" borderId="0" xfId="71" applyFont="1" applyBorder="1" applyAlignment="1"/>
    <xf numFmtId="0" fontId="27" fillId="0" borderId="0" xfId="71" applyFont="1" applyBorder="1" applyAlignment="1"/>
    <xf numFmtId="0" fontId="25" fillId="4" borderId="12" xfId="71" applyFont="1" applyFill="1" applyBorder="1" applyProtection="1"/>
    <xf numFmtId="0" fontId="25" fillId="4" borderId="0" xfId="71" applyFont="1" applyFill="1" applyBorder="1" applyProtection="1"/>
    <xf numFmtId="0" fontId="3" fillId="4" borderId="0" xfId="71" applyFont="1" applyFill="1" applyBorder="1" applyProtection="1"/>
    <xf numFmtId="0" fontId="25" fillId="4" borderId="11" xfId="71" applyFont="1" applyFill="1" applyBorder="1" applyProtection="1"/>
    <xf numFmtId="0" fontId="6" fillId="0" borderId="0" xfId="71" applyFont="1" applyBorder="1" applyAlignment="1"/>
    <xf numFmtId="0" fontId="25" fillId="4" borderId="12" xfId="71" applyFont="1" applyFill="1" applyBorder="1"/>
    <xf numFmtId="0" fontId="25" fillId="4" borderId="0" xfId="71" applyFont="1" applyFill="1" applyBorder="1"/>
    <xf numFmtId="0" fontId="25" fillId="4" borderId="11" xfId="71" applyFont="1" applyFill="1" applyBorder="1"/>
    <xf numFmtId="0" fontId="3" fillId="0" borderId="0" xfId="71" applyFont="1" applyBorder="1" applyAlignment="1">
      <alignment horizontal="right" indent="1"/>
    </xf>
    <xf numFmtId="0" fontId="3" fillId="4" borderId="0" xfId="71" applyFont="1" applyFill="1" applyBorder="1"/>
    <xf numFmtId="0" fontId="25" fillId="12" borderId="0" xfId="71" applyFont="1" applyFill="1" applyBorder="1"/>
    <xf numFmtId="0" fontId="3" fillId="12" borderId="0" xfId="71" applyFont="1" applyFill="1" applyBorder="1" applyAlignment="1">
      <alignment horizontal="right" indent="1"/>
    </xf>
    <xf numFmtId="0" fontId="25" fillId="12" borderId="0" xfId="71" applyFont="1" applyFill="1" applyBorder="1" applyProtection="1"/>
    <xf numFmtId="0" fontId="3" fillId="12" borderId="0" xfId="71" applyFont="1" applyFill="1" applyBorder="1" applyAlignment="1" applyProtection="1">
      <alignment horizontal="right" indent="1"/>
    </xf>
    <xf numFmtId="0" fontId="25" fillId="4" borderId="10" xfId="71" applyFont="1" applyFill="1" applyBorder="1"/>
    <xf numFmtId="0" fontId="25" fillId="4" borderId="15" xfId="71" applyFont="1" applyFill="1" applyBorder="1"/>
    <xf numFmtId="0" fontId="25" fillId="4" borderId="9" xfId="71" applyFont="1" applyFill="1" applyBorder="1"/>
    <xf numFmtId="0" fontId="28" fillId="12" borderId="0" xfId="71" applyFont="1" applyFill="1" applyBorder="1" applyAlignment="1" applyProtection="1">
      <alignment horizontal="left" vertical="top" wrapText="1"/>
    </xf>
    <xf numFmtId="0" fontId="3" fillId="12" borderId="0" xfId="71" applyFont="1" applyFill="1" applyBorder="1"/>
    <xf numFmtId="0" fontId="25" fillId="12" borderId="0" xfId="71" applyFont="1" applyFill="1" applyBorder="1" applyAlignment="1">
      <alignment vertical="center"/>
    </xf>
    <xf numFmtId="0" fontId="28" fillId="12" borderId="0" xfId="71" applyFont="1" applyFill="1" applyBorder="1" applyAlignment="1">
      <alignment vertical="center"/>
    </xf>
    <xf numFmtId="197" fontId="7" fillId="12" borderId="0" xfId="71" applyNumberFormat="1" applyFont="1" applyFill="1" applyBorder="1" applyAlignment="1">
      <alignment vertical="top" wrapText="1"/>
    </xf>
    <xf numFmtId="0" fontId="7" fillId="12" borderId="0" xfId="71" applyFont="1" applyFill="1" applyBorder="1" applyAlignment="1">
      <alignment vertical="top"/>
    </xf>
    <xf numFmtId="2" fontId="31" fillId="0" borderId="0" xfId="72" applyNumberFormat="1" applyFont="1" applyAlignment="1" applyProtection="1">
      <alignment vertical="center"/>
      <protection locked="0"/>
    </xf>
    <xf numFmtId="2" fontId="31" fillId="0" borderId="0" xfId="72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5" fillId="14" borderId="1" xfId="0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166" fontId="6" fillId="4" borderId="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37" fillId="2" borderId="0" xfId="0" applyFont="1" applyFill="1"/>
    <xf numFmtId="0" fontId="38" fillId="2" borderId="0" xfId="0" applyFont="1" applyFill="1"/>
    <xf numFmtId="0" fontId="0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left" vertical="center" wrapText="1"/>
    </xf>
    <xf numFmtId="196" fontId="24" fillId="9" borderId="12" xfId="71" applyNumberFormat="1" applyFont="1" applyFill="1" applyBorder="1" applyAlignment="1" applyProtection="1">
      <alignment horizontal="left" vertical="center" wrapText="1"/>
      <protection hidden="1"/>
    </xf>
    <xf numFmtId="196" fontId="24" fillId="9" borderId="0" xfId="71" applyNumberFormat="1" applyFont="1" applyFill="1" applyBorder="1" applyAlignment="1" applyProtection="1">
      <alignment horizontal="left" vertical="center" wrapText="1"/>
      <protection hidden="1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3" fillId="12" borderId="0" xfId="0" applyFont="1" applyFill="1" applyBorder="1" applyAlignment="1" applyProtection="1">
      <alignment vertical="center"/>
      <protection locked="0"/>
    </xf>
    <xf numFmtId="0" fontId="30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3" fillId="12" borderId="0" xfId="0" applyFont="1" applyFill="1" applyBorder="1" applyAlignment="1" applyProtection="1">
      <protection locked="0"/>
    </xf>
    <xf numFmtId="0" fontId="30" fillId="12" borderId="0" xfId="0" applyFont="1" applyFill="1" applyBorder="1" applyAlignment="1" applyProtection="1">
      <protection locked="0"/>
    </xf>
    <xf numFmtId="0" fontId="32" fillId="13" borderId="12" xfId="0" applyFont="1" applyFill="1" applyBorder="1" applyAlignment="1">
      <alignment horizontal="right" vertical="center"/>
    </xf>
    <xf numFmtId="0" fontId="32" fillId="13" borderId="10" xfId="0" applyFont="1" applyFill="1" applyBorder="1" applyAlignment="1">
      <alignment horizontal="right" vertical="center"/>
    </xf>
    <xf numFmtId="0" fontId="33" fillId="12" borderId="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198" fontId="6" fillId="2" borderId="4" xfId="0" applyNumberFormat="1" applyFont="1" applyFill="1" applyBorder="1" applyAlignment="1">
      <alignment horizontal="right" vertical="center"/>
    </xf>
    <xf numFmtId="198" fontId="6" fillId="4" borderId="4" xfId="1" applyNumberFormat="1" applyFont="1" applyFill="1" applyBorder="1" applyAlignment="1">
      <alignment horizontal="right" vertical="center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/>
    <xf numFmtId="0" fontId="6" fillId="2" borderId="0" xfId="0" applyFont="1" applyFill="1" applyBorder="1" applyAlignment="1">
      <alignment horizontal="left" vertical="center" wrapText="1" indent="2"/>
    </xf>
    <xf numFmtId="3" fontId="6" fillId="2" borderId="15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5" fillId="3" borderId="18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39" fillId="3" borderId="2" xfId="0" applyNumberFormat="1" applyFont="1" applyFill="1" applyBorder="1" applyAlignment="1">
      <alignment horizontal="center" wrapText="1"/>
    </xf>
    <xf numFmtId="166" fontId="40" fillId="4" borderId="4" xfId="0" applyNumberFormat="1" applyFont="1" applyFill="1" applyBorder="1" applyAlignment="1">
      <alignment horizontal="right" vertical="center"/>
    </xf>
    <xf numFmtId="166" fontId="40" fillId="2" borderId="4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center" wrapText="1"/>
    </xf>
    <xf numFmtId="3" fontId="6" fillId="2" borderId="22" xfId="0" applyNumberFormat="1" applyFont="1" applyFill="1" applyBorder="1" applyAlignment="1">
      <alignment horizontal="right" vertical="center"/>
    </xf>
    <xf numFmtId="166" fontId="40" fillId="2" borderId="22" xfId="0" applyNumberFormat="1" applyFont="1" applyFill="1" applyBorder="1" applyAlignment="1">
      <alignment horizontal="right" vertical="center"/>
    </xf>
    <xf numFmtId="166" fontId="6" fillId="2" borderId="22" xfId="0" applyNumberFormat="1" applyFont="1" applyFill="1" applyBorder="1" applyAlignment="1">
      <alignment horizontal="right" vertical="center"/>
    </xf>
    <xf numFmtId="3" fontId="41" fillId="0" borderId="4" xfId="0" applyNumberFormat="1" applyFont="1" applyFill="1" applyBorder="1" applyAlignment="1">
      <alignment horizontal="right" vertical="center" wrapText="1" indent="3"/>
    </xf>
    <xf numFmtId="3" fontId="41" fillId="10" borderId="4" xfId="0" applyNumberFormat="1" applyFont="1" applyFill="1" applyBorder="1" applyAlignment="1">
      <alignment horizontal="right" vertical="center" wrapText="1" indent="3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 wrapText="1" indent="2"/>
    </xf>
    <xf numFmtId="3" fontId="11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 wrapText="1"/>
    </xf>
    <xf numFmtId="167" fontId="11" fillId="2" borderId="4" xfId="1" applyNumberFormat="1" applyFont="1" applyFill="1" applyBorder="1" applyAlignment="1">
      <alignment horizontal="right" vertical="center"/>
    </xf>
    <xf numFmtId="0" fontId="0" fillId="0" borderId="0" xfId="0"/>
    <xf numFmtId="0" fontId="0" fillId="2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5" fontId="5" fillId="3" borderId="30" xfId="0" applyNumberFormat="1" applyFont="1" applyFill="1" applyBorder="1" applyAlignment="1">
      <alignment horizontal="center" vertical="center" wrapText="1"/>
    </xf>
    <xf numFmtId="166" fontId="3" fillId="2" borderId="28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166" fontId="3" fillId="4" borderId="28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left" vertical="center" wrapText="1"/>
    </xf>
    <xf numFmtId="3" fontId="3" fillId="2" borderId="30" xfId="0" applyNumberFormat="1" applyFont="1" applyFill="1" applyBorder="1" applyAlignment="1">
      <alignment horizontal="right" vertical="center"/>
    </xf>
    <xf numFmtId="3" fontId="3" fillId="2" borderId="28" xfId="0" applyNumberFormat="1" applyFont="1" applyFill="1" applyBorder="1" applyAlignment="1">
      <alignment horizontal="right" vertical="center"/>
    </xf>
    <xf numFmtId="0" fontId="45" fillId="2" borderId="3" xfId="0" applyFont="1" applyFill="1" applyBorder="1" applyAlignment="1">
      <alignment horizontal="center" vertical="center" wrapText="1"/>
    </xf>
    <xf numFmtId="166" fontId="46" fillId="2" borderId="4" xfId="0" applyNumberFormat="1" applyFont="1" applyFill="1" applyBorder="1" applyAlignment="1">
      <alignment horizontal="right" vertical="center"/>
    </xf>
    <xf numFmtId="0" fontId="45" fillId="4" borderId="3" xfId="0" applyFont="1" applyFill="1" applyBorder="1" applyAlignment="1">
      <alignment horizontal="center" vertical="center" wrapText="1"/>
    </xf>
    <xf numFmtId="166" fontId="46" fillId="4" borderId="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right" vertical="center"/>
    </xf>
    <xf numFmtId="166" fontId="46" fillId="2" borderId="28" xfId="0" applyNumberFormat="1" applyFont="1" applyFill="1" applyBorder="1" applyAlignment="1">
      <alignment horizontal="right" vertical="center"/>
    </xf>
    <xf numFmtId="166" fontId="46" fillId="4" borderId="28" xfId="0" applyNumberFormat="1" applyFont="1" applyFill="1" applyBorder="1" applyAlignment="1">
      <alignment horizontal="right" vertical="center"/>
    </xf>
    <xf numFmtId="3" fontId="3" fillId="4" borderId="28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left" vertical="center"/>
    </xf>
    <xf numFmtId="166" fontId="3" fillId="2" borderId="3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right" vertical="center"/>
    </xf>
    <xf numFmtId="3" fontId="6" fillId="2" borderId="30" xfId="0" applyNumberFormat="1" applyFont="1" applyFill="1" applyBorder="1" applyAlignment="1">
      <alignment horizontal="right" vertical="center"/>
    </xf>
    <xf numFmtId="3" fontId="3" fillId="4" borderId="31" xfId="0" applyNumberFormat="1" applyFont="1" applyFill="1" applyBorder="1" applyAlignment="1">
      <alignment horizontal="right" vertical="center"/>
    </xf>
    <xf numFmtId="166" fontId="3" fillId="4" borderId="3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166" fontId="47" fillId="2" borderId="3" xfId="0" applyNumberFormat="1" applyFont="1" applyFill="1" applyBorder="1" applyAlignment="1">
      <alignment horizontal="right" vertical="center"/>
    </xf>
    <xf numFmtId="166" fontId="47" fillId="2" borderId="4" xfId="0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 vertical="top"/>
    </xf>
    <xf numFmtId="0" fontId="38" fillId="2" borderId="0" xfId="0" applyFont="1" applyFill="1" applyAlignment="1">
      <alignment horizontal="center" vertical="top" wrapText="1"/>
    </xf>
    <xf numFmtId="165" fontId="5" fillId="3" borderId="17" xfId="0" applyNumberFormat="1" applyFont="1" applyFill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top"/>
    </xf>
    <xf numFmtId="0" fontId="38" fillId="0" borderId="32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165" fontId="0" fillId="2" borderId="0" xfId="0" applyNumberFormat="1" applyFont="1" applyFill="1"/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0" fontId="28" fillId="12" borderId="0" xfId="71" applyFont="1" applyFill="1" applyBorder="1" applyAlignment="1" applyProtection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1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28" fillId="12" borderId="0" xfId="71" applyFont="1" applyFill="1" applyBorder="1" applyAlignment="1" applyProtection="1">
      <alignment horizontal="left" vertical="top" wrapText="1"/>
    </xf>
    <xf numFmtId="10" fontId="2" fillId="2" borderId="0" xfId="1" applyNumberFormat="1" applyFont="1" applyFill="1"/>
    <xf numFmtId="166" fontId="0" fillId="2" borderId="0" xfId="0" applyNumberFormat="1" applyFont="1" applyFill="1"/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textRotation="90" wrapText="1"/>
    </xf>
    <xf numFmtId="0" fontId="26" fillId="13" borderId="14" xfId="71" applyFont="1" applyFill="1" applyBorder="1" applyAlignment="1">
      <alignment horizontal="center" vertical="center"/>
    </xf>
    <xf numFmtId="0" fontId="26" fillId="13" borderId="13" xfId="71" applyFont="1" applyFill="1" applyBorder="1" applyAlignment="1">
      <alignment horizontal="center" vertical="center"/>
    </xf>
    <xf numFmtId="0" fontId="26" fillId="13" borderId="16" xfId="71" applyFont="1" applyFill="1" applyBorder="1" applyAlignment="1">
      <alignment horizontal="center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38" fillId="0" borderId="33" xfId="0" applyFont="1" applyBorder="1" applyAlignment="1">
      <alignment horizontal="center" vertical="top"/>
    </xf>
    <xf numFmtId="0" fontId="38" fillId="0" borderId="32" xfId="0" applyFont="1" applyBorder="1" applyAlignment="1">
      <alignment horizontal="center" vertical="top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</cellXfs>
  <cellStyles count="113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2x indented GHG Textfiels 2" xfId="81" xr:uid="{00000000-0005-0000-0000-000001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5x indented GHG Textfiels 2" xfId="82" xr:uid="{00000000-0005-0000-0000-000003000000}"/>
    <cellStyle name="5x indented GHG Textfiels 3" xfId="80" xr:uid="{00000000-0005-0000-0000-000004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BoldCels" xfId="83" xr:uid="{00000000-0005-0000-0000-000005000000}"/>
    <cellStyle name="AggblueCels" xfId="84" xr:uid="{00000000-0005-0000-0000-000006000000}"/>
    <cellStyle name="AggBoldCells" xfId="85" xr:uid="{00000000-0005-0000-0000-000009000000}"/>
    <cellStyle name="AggCels" xfId="86" xr:uid="{00000000-0005-0000-0000-00000A000000}"/>
    <cellStyle name="AggGreen" xfId="87" xr:uid="{00000000-0005-0000-0000-00000B000000}"/>
    <cellStyle name="AggGreen12" xfId="88" xr:uid="{00000000-0005-0000-0000-00000C000000}"/>
    <cellStyle name="AggOrange" xfId="89" xr:uid="{00000000-0005-0000-0000-00000D000000}"/>
    <cellStyle name="AggOrange9" xfId="90" xr:uid="{00000000-0005-0000-0000-00000E000000}"/>
    <cellStyle name="AggOrangeLB_2x" xfId="91" xr:uid="{00000000-0005-0000-0000-00000F000000}"/>
    <cellStyle name="AggOrangeLBorder" xfId="92" xr:uid="{00000000-0005-0000-0000-000010000000}"/>
    <cellStyle name="AggOrangeRBorder" xfId="93" xr:uid="{00000000-0005-0000-0000-000011000000}"/>
    <cellStyle name="Bold GHG Numbers (0.00)" xfId="9" xr:uid="{00000000-0005-0000-0000-000030000000}"/>
    <cellStyle name="Constants" xfId="73" xr:uid="{79966350-D3CB-47A6-BE24-CFE7324A0034}"/>
    <cellStyle name="CustomCellsOrange" xfId="94" xr:uid="{00000000-0005-0000-0000-000014000000}"/>
    <cellStyle name="CustomizationCells" xfId="95" xr:uid="{00000000-0005-0000-0000-000015000000}"/>
    <cellStyle name="CustomizationGreenCells" xfId="96" xr:uid="{00000000-0005-0000-0000-000016000000}"/>
    <cellStyle name="DocBox_EmptyRow" xfId="97" xr:uid="{00000000-0005-0000-0000-000017000000}"/>
    <cellStyle name="Empty_B_border" xfId="77" xr:uid="{00000000-0005-0000-0000-000018000000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InputCells" xfId="98" xr:uid="{00000000-0005-0000-0000-00001C000000}"/>
    <cellStyle name="InputCells12" xfId="99" xr:uid="{00000000-0005-0000-0000-00001D000000}"/>
    <cellStyle name="IntCells" xfId="100" xr:uid="{00000000-0005-0000-0000-00001E000000}"/>
    <cellStyle name="Komma 2" xfId="74" xr:uid="{00000000-0005-0000-0000-00001F000000}"/>
    <cellStyle name="Komma 2 2" xfId="112" xr:uid="{00000000-0005-0000-0000-00001F000000}"/>
    <cellStyle name="KP_thin_border_dark_grey" xfId="101" xr:uid="{00000000-0005-0000-0000-000020000000}"/>
    <cellStyle name="mitP" xfId="61" xr:uid="{00000000-0005-0000-0000-000035000000}"/>
    <cellStyle name="Normal 2" xfId="76" xr:uid="{00000000-0005-0000-0000-000022000000}"/>
    <cellStyle name="Normal 2 2" xfId="102" xr:uid="{00000000-0005-0000-0000-000023000000}"/>
    <cellStyle name="Normal 3" xfId="110" xr:uid="{00000000-0005-0000-0000-000024000000}"/>
    <cellStyle name="Normal GHG Numbers (0.00)" xfId="12" xr:uid="{00000000-0005-0000-0000-000036000000}"/>
    <cellStyle name="Normal GHG Numbers (0.00) 2" xfId="103" xr:uid="{00000000-0005-0000-0000-000025000000}"/>
    <cellStyle name="Normal GHG Textfiels Bold" xfId="8" xr:uid="{00000000-0005-0000-0000-000037000000}"/>
    <cellStyle name="Normal GHG Textfiels Bold 2" xfId="104" xr:uid="{00000000-0005-0000-0000-000026000000}"/>
    <cellStyle name="Normal GHG whole table" xfId="62" xr:uid="{00000000-0005-0000-0000-000038000000}"/>
    <cellStyle name="Normal GHG-Shade" xfId="13" xr:uid="{00000000-0005-0000-0000-000039000000}"/>
    <cellStyle name="Normal GHG-Shade 2" xfId="105" xr:uid="{00000000-0005-0000-0000-000029000000}"/>
    <cellStyle name="Normal GHG-Shade 3" xfId="79" xr:uid="{00000000-0005-0000-0000-00002A000000}"/>
    <cellStyle name="Normal GHG-Shade_DEU-2009-2007-v1.1" xfId="75" xr:uid="{00000000-0005-0000-0000-00002B000000}"/>
    <cellStyle name="Normal_HELP" xfId="63" xr:uid="{00000000-0005-0000-0000-00003A000000}"/>
    <cellStyle name="Normál_Munka1" xfId="106" xr:uid="{00000000-0005-0000-0000-00002D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hade" xfId="107" xr:uid="{00000000-0005-0000-0000-000030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2 2 2 2" xfId="111" xr:uid="{00000000-0005-0000-0000-000034000000}"/>
    <cellStyle name="Standard 2 2 3" xfId="78" xr:uid="{00000000-0005-0000-0000-000033000000}"/>
    <cellStyle name="Standard 2 3" xfId="109" xr:uid="{00000000-0005-0000-0000-000035000000}"/>
    <cellStyle name="Standard 3" xfId="7" xr:uid="{00000000-0005-0000-0000-000044000000}"/>
    <cellStyle name="Standard 3 2" xfId="69" xr:uid="{00000000-0005-0000-0000-000045000000}"/>
    <cellStyle name="Standard 3 3" xfId="71" xr:uid="{40DE01A5-0CE3-4112-BAA5-F77E05D6A5F1}"/>
    <cellStyle name="Standard_Germany - 2004 - 2000" xfId="72" xr:uid="{0CF9EB4E-80E6-4C2D-B899-356C5EB91CA3}"/>
    <cellStyle name="Гиперссылка" xfId="108" xr:uid="{00000000-0005-0000-0000-000038000000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Sektorgrafik'!$D$10:$AQ$10</c:f>
              <c:numCache>
                <c:formatCode>#,##0</c:formatCode>
                <c:ptCount val="18"/>
                <c:pt idx="0">
                  <c:v>372.58877733130129</c:v>
                </c:pt>
                <c:pt idx="1">
                  <c:v>367.93689474418659</c:v>
                </c:pt>
                <c:pt idx="2">
                  <c:v>379.78397467371877</c:v>
                </c:pt>
                <c:pt idx="3">
                  <c:v>384.36839643022091</c:v>
                </c:pt>
                <c:pt idx="4">
                  <c:v>363.02210331471542</c:v>
                </c:pt>
                <c:pt idx="5">
                  <c:v>351.6921278761219</c:v>
                </c:pt>
                <c:pt idx="6">
                  <c:v>346.38866096609632</c:v>
                </c:pt>
                <c:pt idx="7">
                  <c:v>326.85620346245787</c:v>
                </c:pt>
                <c:pt idx="8">
                  <c:v>311.70204315861605</c:v>
                </c:pt>
                <c:pt idx="9">
                  <c:v>259.17761168640862</c:v>
                </c:pt>
                <c:pt idx="10">
                  <c:v>220.09520850316858</c:v>
                </c:pt>
                <c:pt idx="11">
                  <c:v>247.78248387902258</c:v>
                </c:pt>
                <c:pt idx="12">
                  <c:v>258.06791392407115</c:v>
                </c:pt>
                <c:pt idx="13">
                  <c:v>204.82888876446282</c:v>
                </c:pt>
                <c:pt idx="14">
                  <c:v>189.69859171527955</c:v>
                </c:pt>
                <c:pt idx="15">
                  <c:v>189.08795293816465</c:v>
                </c:pt>
                <c:pt idx="1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Sektorgrafik'!$D$11:$AQ$11</c:f>
              <c:numCache>
                <c:formatCode>#,##0</c:formatCode>
                <c:ptCount val="18"/>
                <c:pt idx="0">
                  <c:v>183.72861264169111</c:v>
                </c:pt>
                <c:pt idx="1">
                  <c:v>181.73545932119652</c:v>
                </c:pt>
                <c:pt idx="2">
                  <c:v>176.98806789199159</c:v>
                </c:pt>
                <c:pt idx="3">
                  <c:v>176.90691866347069</c:v>
                </c:pt>
                <c:pt idx="4">
                  <c:v>176.05277993746981</c:v>
                </c:pt>
                <c:pt idx="5">
                  <c:v>182.8789630987412</c:v>
                </c:pt>
                <c:pt idx="6">
                  <c:v>186.57138369634714</c:v>
                </c:pt>
                <c:pt idx="7">
                  <c:v>192.30405291449762</c:v>
                </c:pt>
                <c:pt idx="8">
                  <c:v>184.73248464085813</c:v>
                </c:pt>
                <c:pt idx="9">
                  <c:v>179.00608427761014</c:v>
                </c:pt>
                <c:pt idx="10">
                  <c:v>172.32714236985967</c:v>
                </c:pt>
                <c:pt idx="11">
                  <c:v>180.07211795118846</c:v>
                </c:pt>
                <c:pt idx="12">
                  <c:v>164.24562316678845</c:v>
                </c:pt>
                <c:pt idx="13">
                  <c:v>149.71988883248548</c:v>
                </c:pt>
                <c:pt idx="14">
                  <c:v>149.76712492260268</c:v>
                </c:pt>
                <c:pt idx="15">
                  <c:v>144.14168907995369</c:v>
                </c:pt>
                <c:pt idx="1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Sektorgrafik'!$D$12:$AQ$12</c:f>
              <c:numCache>
                <c:formatCode>#,##0</c:formatCode>
                <c:ptCount val="18"/>
                <c:pt idx="0">
                  <c:v>145.03437013705775</c:v>
                </c:pt>
                <c:pt idx="1">
                  <c:v>124.85841015963605</c:v>
                </c:pt>
                <c:pt idx="2">
                  <c:v>129.5906503449369</c:v>
                </c:pt>
                <c:pt idx="3">
                  <c:v>140.24088491850219</c:v>
                </c:pt>
                <c:pt idx="4">
                  <c:v>118.63645805072534</c:v>
                </c:pt>
                <c:pt idx="5">
                  <c:v>124.78356999675545</c:v>
                </c:pt>
                <c:pt idx="6">
                  <c:v>124.1617541317565</c:v>
                </c:pt>
                <c:pt idx="7">
                  <c:v>122.98235301164566</c:v>
                </c:pt>
                <c:pt idx="8">
                  <c:v>117.68587978898627</c:v>
                </c:pt>
                <c:pt idx="9">
                  <c:v>123.48208895026859</c:v>
                </c:pt>
                <c:pt idx="10">
                  <c:v>121.56194533243483</c:v>
                </c:pt>
                <c:pt idx="11">
                  <c:v>117.95820040067062</c:v>
                </c:pt>
                <c:pt idx="12">
                  <c:v>111.31260961258033</c:v>
                </c:pt>
                <c:pt idx="13">
                  <c:v>102.3588389695604</c:v>
                </c:pt>
                <c:pt idx="14">
                  <c:v>99.998028143157129</c:v>
                </c:pt>
                <c:pt idx="15">
                  <c:v>103.36586664073803</c:v>
                </c:pt>
                <c:pt idx="1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Sektorgrafik'!$D$13:$AQ$13</c:f>
              <c:numCache>
                <c:formatCode>#,##0</c:formatCode>
                <c:ptCount val="18"/>
                <c:pt idx="0">
                  <c:v>151.91064588226837</c:v>
                </c:pt>
                <c:pt idx="1">
                  <c:v>153.56095097371428</c:v>
                </c:pt>
                <c:pt idx="2">
                  <c:v>152.08618806966663</c:v>
                </c:pt>
                <c:pt idx="3">
                  <c:v>156.03311623669646</c:v>
                </c:pt>
                <c:pt idx="4">
                  <c:v>157.63757298831274</c:v>
                </c:pt>
                <c:pt idx="5">
                  <c:v>161.09044280870424</c:v>
                </c:pt>
                <c:pt idx="6">
                  <c:v>163.8923928993205</c:v>
                </c:pt>
                <c:pt idx="7">
                  <c:v>167.27937411929673</c:v>
                </c:pt>
                <c:pt idx="8">
                  <c:v>162.63734410803056</c:v>
                </c:pt>
                <c:pt idx="9">
                  <c:v>163.62252220400541</c:v>
                </c:pt>
                <c:pt idx="10">
                  <c:v>145.89515044332205</c:v>
                </c:pt>
                <c:pt idx="11">
                  <c:v>146.81228818570358</c:v>
                </c:pt>
                <c:pt idx="12">
                  <c:v>148.07028751224166</c:v>
                </c:pt>
                <c:pt idx="13">
                  <c:v>144.47872767333922</c:v>
                </c:pt>
                <c:pt idx="14">
                  <c:v>144.18232724657935</c:v>
                </c:pt>
                <c:pt idx="15">
                  <c:v>146.30515581176434</c:v>
                </c:pt>
                <c:pt idx="1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Sektorgrafik'!$D$14:$AQ$14</c:f>
              <c:numCache>
                <c:formatCode>#,##0</c:formatCode>
                <c:ptCount val="18"/>
                <c:pt idx="0">
                  <c:v>67.795567311718315</c:v>
                </c:pt>
                <c:pt idx="1">
                  <c:v>68.214170448732247</c:v>
                </c:pt>
                <c:pt idx="2">
                  <c:v>68.013050823684907</c:v>
                </c:pt>
                <c:pt idx="3">
                  <c:v>69.373201402205154</c:v>
                </c:pt>
                <c:pt idx="4">
                  <c:v>70.820628331803888</c:v>
                </c:pt>
                <c:pt idx="5">
                  <c:v>69.717072689616643</c:v>
                </c:pt>
                <c:pt idx="6">
                  <c:v>70.111547703125282</c:v>
                </c:pt>
                <c:pt idx="7">
                  <c:v>69.331952256734809</c:v>
                </c:pt>
                <c:pt idx="8">
                  <c:v>66.245973720612625</c:v>
                </c:pt>
                <c:pt idx="9">
                  <c:v>66.105897936157163</c:v>
                </c:pt>
                <c:pt idx="10">
                  <c:v>64.97468939242593</c:v>
                </c:pt>
                <c:pt idx="11">
                  <c:v>64.238336695656002</c:v>
                </c:pt>
                <c:pt idx="12">
                  <c:v>61.920176584801617</c:v>
                </c:pt>
                <c:pt idx="13">
                  <c:v>62.74273533616168</c:v>
                </c:pt>
                <c:pt idx="14">
                  <c:v>60.846136464729106</c:v>
                </c:pt>
                <c:pt idx="15">
                  <c:v>60.842481207611776</c:v>
                </c:pt>
                <c:pt idx="1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Sektorgrafik'!$D$15:$AQ$15</c:f>
              <c:numCache>
                <c:formatCode>#,##0</c:formatCode>
                <c:ptCount val="18"/>
                <c:pt idx="0">
                  <c:v>12.191951804297188</c:v>
                </c:pt>
                <c:pt idx="1">
                  <c:v>11.309311816960442</c:v>
                </c:pt>
                <c:pt idx="2">
                  <c:v>10.483453341628131</c:v>
                </c:pt>
                <c:pt idx="3">
                  <c:v>9.6877307795879641</c:v>
                </c:pt>
                <c:pt idx="4">
                  <c:v>9.0623234858736179</c:v>
                </c:pt>
                <c:pt idx="5">
                  <c:v>8.4434764284048285</c:v>
                </c:pt>
                <c:pt idx="6">
                  <c:v>7.9043758078951205</c:v>
                </c:pt>
                <c:pt idx="7">
                  <c:v>7.5258270473799262</c:v>
                </c:pt>
                <c:pt idx="8">
                  <c:v>7.1312752606933367</c:v>
                </c:pt>
                <c:pt idx="9">
                  <c:v>6.606323665599354</c:v>
                </c:pt>
                <c:pt idx="10">
                  <c:v>6.1182356179770174</c:v>
                </c:pt>
                <c:pt idx="11">
                  <c:v>5.9092398257029579</c:v>
                </c:pt>
                <c:pt idx="12">
                  <c:v>5.6498133677704585</c:v>
                </c:pt>
                <c:pt idx="13">
                  <c:v>5.4492808878491443</c:v>
                </c:pt>
                <c:pt idx="14">
                  <c:v>5.2773098996146075</c:v>
                </c:pt>
                <c:pt idx="15">
                  <c:v>5.1234909507111492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Sektorgrafik'!$D$17:$AQ$17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Sektorgrafik'!$D$9:$AQ$9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Sektorgrafik'!$D$16:$AQ$16</c:f>
              <c:numCache>
                <c:formatCode>#,##0</c:formatCode>
                <c:ptCount val="18"/>
                <c:pt idx="0">
                  <c:v>933.24992510833397</c:v>
                </c:pt>
                <c:pt idx="1">
                  <c:v>907.61519746442616</c:v>
                </c:pt>
                <c:pt idx="2">
                  <c:v>916.9453851456268</c:v>
                </c:pt>
                <c:pt idx="3">
                  <c:v>936.61024843068321</c:v>
                </c:pt>
                <c:pt idx="4">
                  <c:v>895.23186610890082</c:v>
                </c:pt>
                <c:pt idx="5">
                  <c:v>898.60565289834415</c:v>
                </c:pt>
                <c:pt idx="6">
                  <c:v>899.03011520454095</c:v>
                </c:pt>
                <c:pt idx="7">
                  <c:v>886.27976281201245</c:v>
                </c:pt>
                <c:pt idx="8">
                  <c:v>850.13500067779694</c:v>
                </c:pt>
                <c:pt idx="9">
                  <c:v>798.00052872004926</c:v>
                </c:pt>
                <c:pt idx="10">
                  <c:v>730.97237165918796</c:v>
                </c:pt>
                <c:pt idx="11">
                  <c:v>762.77266693794411</c:v>
                </c:pt>
                <c:pt idx="12">
                  <c:v>749.26642416825359</c:v>
                </c:pt>
                <c:pt idx="13">
                  <c:v>669.57836046385864</c:v>
                </c:pt>
                <c:pt idx="14">
                  <c:v>649.76951839196227</c:v>
                </c:pt>
                <c:pt idx="15">
                  <c:v>648.86663662894364</c:v>
                </c:pt>
                <c:pt idx="17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0"/>
          <c:order val="0"/>
          <c:tx>
            <c:strRef>
              <c:f>'Daten Zielpfadgrafik'!$B$12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Zielpfadgrafik'!$D$12:$AR$12</c:f>
              <c:numCache>
                <c:formatCode>#,##0.0</c:formatCode>
                <c:ptCount val="13"/>
                <c:pt idx="0">
                  <c:v>311.70204315861605</c:v>
                </c:pt>
                <c:pt idx="1">
                  <c:v>259.17761168640862</c:v>
                </c:pt>
                <c:pt idx="2">
                  <c:v>220.09520850316858</c:v>
                </c:pt>
                <c:pt idx="3">
                  <c:v>247.78248387902258</c:v>
                </c:pt>
                <c:pt idx="4">
                  <c:v>258.06791392407115</c:v>
                </c:pt>
                <c:pt idx="5">
                  <c:v>204.82888876446282</c:v>
                </c:pt>
                <c:pt idx="6">
                  <c:v>189.69859171527955</c:v>
                </c:pt>
                <c:pt idx="7">
                  <c:v>189.08795293816465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0-4FDC-B50B-A886BF5CBD27}"/>
            </c:ext>
          </c:extLst>
        </c:ser>
        <c:ser>
          <c:idx val="6"/>
          <c:order val="1"/>
          <c:tx>
            <c:strRef>
              <c:f>'Daten Zielpfadgrafik'!$B$23:$C$23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Zielpfadgrafik'!$D$23:$AR$23</c:f>
              <c:numCache>
                <c:formatCode>#,##0</c:formatCode>
                <c:ptCount val="13"/>
                <c:pt idx="2" formatCode="#,##0.0">
                  <c:v>280</c:v>
                </c:pt>
                <c:pt idx="3" formatCode="#,##0.0">
                  <c:v>#N/A</c:v>
                </c:pt>
                <c:pt idx="4" formatCode="#,##0.0">
                  <c:v>257</c:v>
                </c:pt>
                <c:pt idx="5" formatCode="#,##0.0">
                  <c:v>#N/A</c:v>
                </c:pt>
                <c:pt idx="6" formatCode="#,##0.0">
                  <c:v>#N/A</c:v>
                </c:pt>
                <c:pt idx="7" formatCode="#,##0.0">
                  <c:v>#N/A</c:v>
                </c:pt>
                <c:pt idx="8" formatCode="#,##0.0">
                  <c:v>#N/A</c:v>
                </c:pt>
                <c:pt idx="9" formatCode="#,##0.0">
                  <c:v>#N/A</c:v>
                </c:pt>
                <c:pt idx="10" formatCode="#,##0.0">
                  <c:v>#N/A</c:v>
                </c:pt>
                <c:pt idx="11" formatCode="#,##0.0">
                  <c:v>#N/A</c:v>
                </c:pt>
                <c:pt idx="12" formatCode="#,##0.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0-4FDC-B50B-A886BF5CBD27}"/>
            </c:ext>
          </c:extLst>
        </c:ser>
        <c:ser>
          <c:idx val="1"/>
          <c:order val="2"/>
          <c:tx>
            <c:strRef>
              <c:f>'Daten Zielpfadgrafik'!$B$13</c:f>
              <c:strCache>
                <c:ptCount val="1"/>
                <c:pt idx="0">
                  <c:v>2 - Industrie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Zielpfadgrafik'!$D$13:$AR$13</c:f>
              <c:numCache>
                <c:formatCode>#,##0.0</c:formatCode>
                <c:ptCount val="13"/>
                <c:pt idx="0">
                  <c:v>184.73248464085813</c:v>
                </c:pt>
                <c:pt idx="1">
                  <c:v>179.00608427761014</c:v>
                </c:pt>
                <c:pt idx="2">
                  <c:v>172.32714236985967</c:v>
                </c:pt>
                <c:pt idx="3">
                  <c:v>180.07211795118846</c:v>
                </c:pt>
                <c:pt idx="4">
                  <c:v>164.24562316678845</c:v>
                </c:pt>
                <c:pt idx="5">
                  <c:v>149.71988883248548</c:v>
                </c:pt>
                <c:pt idx="6">
                  <c:v>149.76712492260268</c:v>
                </c:pt>
                <c:pt idx="7">
                  <c:v>144.14168907995369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0-4FDC-B50B-A886BF5CBD27}"/>
            </c:ext>
          </c:extLst>
        </c:ser>
        <c:ser>
          <c:idx val="7"/>
          <c:order val="3"/>
          <c:tx>
            <c:strRef>
              <c:f>'Daten Zielpfadgrafik'!$B$24:$C$24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Zielpfadgrafik'!$D$24:$AR$24</c:f>
              <c:numCache>
                <c:formatCode>#,##0</c:formatCode>
                <c:ptCount val="13"/>
                <c:pt idx="2" formatCode="#,##0.0">
                  <c:v>186</c:v>
                </c:pt>
                <c:pt idx="3" formatCode="#,##0.0">
                  <c:v>182</c:v>
                </c:pt>
                <c:pt idx="4" formatCode="#,##0.0">
                  <c:v>176.86086659631175</c:v>
                </c:pt>
                <c:pt idx="5" formatCode="#,##0.0">
                  <c:v>172.985406483856</c:v>
                </c:pt>
                <c:pt idx="6" formatCode="#,##0.0">
                  <c:v>168.85135902837555</c:v>
                </c:pt>
                <c:pt idx="7" formatCode="#,##0.0">
                  <c:v>164.03206471267103</c:v>
                </c:pt>
                <c:pt idx="8" formatCode="#,##0.0">
                  <c:v>160.0101398392145</c:v>
                </c:pt>
                <c:pt idx="9" formatCode="#,##0.0">
                  <c:v>151.0101398392145</c:v>
                </c:pt>
                <c:pt idx="10" formatCode="#,##0.0">
                  <c:v>143.0101398392145</c:v>
                </c:pt>
                <c:pt idx="11" formatCode="#,##0.0">
                  <c:v>136.01013983921447</c:v>
                </c:pt>
                <c:pt idx="12" formatCode="#,##0.0">
                  <c:v>129.01013983921447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0-4FDC-B50B-A886BF5CBD27}"/>
            </c:ext>
          </c:extLst>
        </c:ser>
        <c:ser>
          <c:idx val="2"/>
          <c:order val="4"/>
          <c:tx>
            <c:strRef>
              <c:f>'Daten Zielpfadgrafik'!$B$14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Zielpfadgrafik'!$D$14:$AR$14</c:f>
              <c:numCache>
                <c:formatCode>#,##0.0</c:formatCode>
                <c:ptCount val="13"/>
                <c:pt idx="0">
                  <c:v>117.68587978898627</c:v>
                </c:pt>
                <c:pt idx="1">
                  <c:v>123.48208895026859</c:v>
                </c:pt>
                <c:pt idx="2">
                  <c:v>121.56194533243483</c:v>
                </c:pt>
                <c:pt idx="3">
                  <c:v>117.95820040067062</c:v>
                </c:pt>
                <c:pt idx="4">
                  <c:v>111.31260961258033</c:v>
                </c:pt>
                <c:pt idx="5">
                  <c:v>102.3588389695604</c:v>
                </c:pt>
                <c:pt idx="6">
                  <c:v>99.998028143157129</c:v>
                </c:pt>
                <c:pt idx="7">
                  <c:v>103.36586664073803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C0-4FDC-B50B-A886BF5CBD27}"/>
            </c:ext>
          </c:extLst>
        </c:ser>
        <c:ser>
          <c:idx val="8"/>
          <c:order val="5"/>
          <c:tx>
            <c:strRef>
              <c:f>'Daten Zielpfadgrafik'!$B$25:$C$25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Zielpfadgrafik'!$D$25:$AR$25</c:f>
              <c:numCache>
                <c:formatCode>#,##0</c:formatCode>
                <c:ptCount val="13"/>
                <c:pt idx="2" formatCode="#,##0.0">
                  <c:v>118</c:v>
                </c:pt>
                <c:pt idx="3" formatCode="#,##0.0">
                  <c:v>113</c:v>
                </c:pt>
                <c:pt idx="4" formatCode="#,##0.0">
                  <c:v>107.44154968536468</c:v>
                </c:pt>
                <c:pt idx="5" formatCode="#,##0.0">
                  <c:v>101.05379676576811</c:v>
                </c:pt>
                <c:pt idx="6" formatCode="#,##0.0">
                  <c:v>95.785339132491416</c:v>
                </c:pt>
                <c:pt idx="7" formatCode="#,##0.0">
                  <c:v>90.083224297380468</c:v>
                </c:pt>
                <c:pt idx="8" formatCode="#,##0.0">
                  <c:v>82.426695828708958</c:v>
                </c:pt>
                <c:pt idx="9" formatCode="#,##0.0">
                  <c:v>77.426695828708958</c:v>
                </c:pt>
                <c:pt idx="10" formatCode="#,##0.0">
                  <c:v>72.426695828708958</c:v>
                </c:pt>
                <c:pt idx="11" formatCode="#,##0.0">
                  <c:v>67.426695828708958</c:v>
                </c:pt>
                <c:pt idx="12" formatCode="#,##0.0">
                  <c:v>62.426695828708958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C0-4FDC-B50B-A886BF5CBD27}"/>
            </c:ext>
          </c:extLst>
        </c:ser>
        <c:ser>
          <c:idx val="3"/>
          <c:order val="6"/>
          <c:tx>
            <c:strRef>
              <c:f>'Daten Zielpfadgrafik'!$B$15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Zielpfadgrafik'!$D$15:$AR$15</c:f>
              <c:numCache>
                <c:formatCode>#,##0.0</c:formatCode>
                <c:ptCount val="13"/>
                <c:pt idx="0">
                  <c:v>162.63734410803056</c:v>
                </c:pt>
                <c:pt idx="1">
                  <c:v>163.62252220400541</c:v>
                </c:pt>
                <c:pt idx="2">
                  <c:v>145.89515044332205</c:v>
                </c:pt>
                <c:pt idx="3">
                  <c:v>146.81228818570358</c:v>
                </c:pt>
                <c:pt idx="4">
                  <c:v>148.07028751224166</c:v>
                </c:pt>
                <c:pt idx="5">
                  <c:v>144.47872767333922</c:v>
                </c:pt>
                <c:pt idx="6">
                  <c:v>144.18232724657935</c:v>
                </c:pt>
                <c:pt idx="7">
                  <c:v>146.30515581176434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C0-4FDC-B50B-A886BF5CBD27}"/>
            </c:ext>
          </c:extLst>
        </c:ser>
        <c:ser>
          <c:idx val="9"/>
          <c:order val="7"/>
          <c:tx>
            <c:strRef>
              <c:f>'Daten Zielpfadgrafik'!$B$26:$C$26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Zielpfadgrafik'!$D$26:$AR$26</c:f>
              <c:numCache>
                <c:formatCode>#,##0</c:formatCode>
                <c:ptCount val="13"/>
                <c:pt idx="2" formatCode="#,##0.0">
                  <c:v>150</c:v>
                </c:pt>
                <c:pt idx="3" formatCode="#,##0.0">
                  <c:v>145</c:v>
                </c:pt>
                <c:pt idx="4" formatCode="#,##0.0">
                  <c:v>138.80153267406732</c:v>
                </c:pt>
                <c:pt idx="5" formatCode="#,##0.0">
                  <c:v>132.74131421065542</c:v>
                </c:pt>
                <c:pt idx="6" formatCode="#,##0.0">
                  <c:v>124.97133643667375</c:v>
                </c:pt>
                <c:pt idx="7" formatCode="#,##0.0">
                  <c:v>116.76950463502281</c:v>
                </c:pt>
                <c:pt idx="8" formatCode="#,##0.0">
                  <c:v>104.86237439967451</c:v>
                </c:pt>
                <c:pt idx="9" formatCode="#,##0.0">
                  <c:v>99.862374399674508</c:v>
                </c:pt>
                <c:pt idx="10" formatCode="#,##0.0">
                  <c:v>92.862374399674508</c:v>
                </c:pt>
                <c:pt idx="11" formatCode="#,##0.0">
                  <c:v>83.862374399674508</c:v>
                </c:pt>
                <c:pt idx="12" formatCode="#,##0.0">
                  <c:v>72.862374399674508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C0-4FDC-B50B-A886BF5CBD27}"/>
            </c:ext>
          </c:extLst>
        </c:ser>
        <c:ser>
          <c:idx val="4"/>
          <c:order val="8"/>
          <c:tx>
            <c:strRef>
              <c:f>'Daten Zielpfadgrafik'!$B$16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Zielpfadgrafik'!$D$16:$AR$16</c:f>
              <c:numCache>
                <c:formatCode>#,##0.0</c:formatCode>
                <c:ptCount val="13"/>
                <c:pt idx="0">
                  <c:v>66.245973720612625</c:v>
                </c:pt>
                <c:pt idx="1">
                  <c:v>66.105897936157163</c:v>
                </c:pt>
                <c:pt idx="2">
                  <c:v>64.97468939242593</c:v>
                </c:pt>
                <c:pt idx="3">
                  <c:v>64.238336695656002</c:v>
                </c:pt>
                <c:pt idx="4">
                  <c:v>61.920176584801617</c:v>
                </c:pt>
                <c:pt idx="5">
                  <c:v>62.74273533616168</c:v>
                </c:pt>
                <c:pt idx="6">
                  <c:v>60.846136464729106</c:v>
                </c:pt>
                <c:pt idx="7">
                  <c:v>60.842481207611776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C0-4FDC-B50B-A886BF5CBD27}"/>
            </c:ext>
          </c:extLst>
        </c:ser>
        <c:ser>
          <c:idx val="10"/>
          <c:order val="9"/>
          <c:tx>
            <c:strRef>
              <c:f>'Daten Zielpfadgrafik'!$B$27:$C$27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Zielpfadgrafik'!$D$27:$AR$27</c:f>
              <c:numCache>
                <c:formatCode>#,##0</c:formatCode>
                <c:ptCount val="13"/>
                <c:pt idx="2" formatCode="#,##0.0">
                  <c:v>70</c:v>
                </c:pt>
                <c:pt idx="3" formatCode="#,##0.0">
                  <c:v>68</c:v>
                </c:pt>
                <c:pt idx="4" formatCode="#,##0.0">
                  <c:v>67.592627518947467</c:v>
                </c:pt>
                <c:pt idx="5" formatCode="#,##0.0">
                  <c:v>67.362442884434003</c:v>
                </c:pt>
                <c:pt idx="6" formatCode="#,##0.0">
                  <c:v>66.991365198110572</c:v>
                </c:pt>
                <c:pt idx="7" formatCode="#,##0.0">
                  <c:v>66.015569987007467</c:v>
                </c:pt>
                <c:pt idx="8" formatCode="#,##0.0">
                  <c:v>66.050187742886607</c:v>
                </c:pt>
                <c:pt idx="9" formatCode="#,##0.0">
                  <c:v>65.050187742886607</c:v>
                </c:pt>
                <c:pt idx="10" formatCode="#,##0.0">
                  <c:v>63.050187742886607</c:v>
                </c:pt>
                <c:pt idx="11" formatCode="#,##0.0">
                  <c:v>61.050187742886607</c:v>
                </c:pt>
                <c:pt idx="12" formatCode="#,##0.0">
                  <c:v>60.050187742886607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C0-4FDC-B50B-A886BF5CBD27}"/>
            </c:ext>
          </c:extLst>
        </c:ser>
        <c:ser>
          <c:idx val="5"/>
          <c:order val="10"/>
          <c:tx>
            <c:strRef>
              <c:f>'Daten Zielpfadgrafik'!$B$17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Zielpfadgrafik'!$D$17:$AR$17</c:f>
              <c:numCache>
                <c:formatCode>#,##0.0</c:formatCode>
                <c:ptCount val="13"/>
                <c:pt idx="0">
                  <c:v>7.1312752606933367</c:v>
                </c:pt>
                <c:pt idx="1">
                  <c:v>6.606323665599354</c:v>
                </c:pt>
                <c:pt idx="2">
                  <c:v>6.1182356179770174</c:v>
                </c:pt>
                <c:pt idx="3">
                  <c:v>5.9092398257029579</c:v>
                </c:pt>
                <c:pt idx="4">
                  <c:v>5.6498133677704585</c:v>
                </c:pt>
                <c:pt idx="5">
                  <c:v>5.4492808878491443</c:v>
                </c:pt>
                <c:pt idx="6">
                  <c:v>5.2773098996146075</c:v>
                </c:pt>
                <c:pt idx="7">
                  <c:v>5.1234909507111492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C0-4FDC-B50B-A886BF5CBD27}"/>
            </c:ext>
          </c:extLst>
        </c:ser>
        <c:ser>
          <c:idx val="11"/>
          <c:order val="11"/>
          <c:tx>
            <c:strRef>
              <c:f>'Daten Zielpfadgrafik'!$B$28:$C$28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Zielpfadgrafik'!$D$28:$AR$28</c:f>
              <c:numCache>
                <c:formatCode>#,##0</c:formatCode>
                <c:ptCount val="13"/>
                <c:pt idx="2" formatCode="#,##0.0">
                  <c:v>9</c:v>
                </c:pt>
                <c:pt idx="3" formatCode="#,##0.0">
                  <c:v>9</c:v>
                </c:pt>
                <c:pt idx="4" formatCode="#,##0.0">
                  <c:v>8.5006613839937355</c:v>
                </c:pt>
                <c:pt idx="5" formatCode="#,##0.0">
                  <c:v>8.8556929007255043</c:v>
                </c:pt>
                <c:pt idx="6" formatCode="#,##0.0">
                  <c:v>8.3365028454172929</c:v>
                </c:pt>
                <c:pt idx="7" formatCode="#,##0.0">
                  <c:v>8.8463683363844066</c:v>
                </c:pt>
                <c:pt idx="8" formatCode="#,##0.0">
                  <c:v>8.5909438135190577</c:v>
                </c:pt>
                <c:pt idx="9" formatCode="#,##0.0">
                  <c:v>8.5909438135190577</c:v>
                </c:pt>
                <c:pt idx="10" formatCode="#,##0.0">
                  <c:v>7.5909438135190577</c:v>
                </c:pt>
                <c:pt idx="11" formatCode="#,##0.0">
                  <c:v>7.5909438135190577</c:v>
                </c:pt>
                <c:pt idx="12" formatCode="#,##0.0">
                  <c:v>6.5909438135190577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1C0-4FDC-B50B-A886BF5C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'Daten Zielpfadgrafik'!$B$11</c15:sqref>
                        </c15:formulaRef>
                      </c:ext>
                    </c:extLst>
                    <c:strCache>
                      <c:ptCount val="1"/>
                      <c:pt idx="0">
                        <c:v>0 - JEGM</c:v>
                      </c:pt>
                    </c:strCache>
                  </c:strRef>
                </c:tx>
                <c:spPr>
                  <a:ln w="2857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'Daten Zielpfadgrafik'!$D$10:$AR$10</c15:sqref>
                        </c15:formulaRef>
                      </c:ext>
                    </c:extLst>
                    <c:numCache>
                      <c:formatCode>yyyy</c:formatCode>
                      <c:ptCount val="13"/>
                      <c:pt idx="0">
                        <c:v>43101</c:v>
                      </c:pt>
                      <c:pt idx="1">
                        <c:v>43466</c:v>
                      </c:pt>
                      <c:pt idx="2">
                        <c:v>43831</c:v>
                      </c:pt>
                      <c:pt idx="3">
                        <c:v>44197</c:v>
                      </c:pt>
                      <c:pt idx="4">
                        <c:v>44562</c:v>
                      </c:pt>
                      <c:pt idx="5">
                        <c:v>44927</c:v>
                      </c:pt>
                      <c:pt idx="6">
                        <c:v>45292</c:v>
                      </c:pt>
                      <c:pt idx="7">
                        <c:v>45658</c:v>
                      </c:pt>
                      <c:pt idx="8">
                        <c:v>46023</c:v>
                      </c:pt>
                      <c:pt idx="9">
                        <c:v>46388</c:v>
                      </c:pt>
                      <c:pt idx="10">
                        <c:v>46753</c:v>
                      </c:pt>
                      <c:pt idx="11">
                        <c:v>47119</c:v>
                      </c:pt>
                      <c:pt idx="12">
                        <c:v>47484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'Daten Zielpfadgrafik'!$D$11:$AR$11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850.13500067779694</c:v>
                      </c:pt>
                      <c:pt idx="1">
                        <c:v>798.00052872004926</c:v>
                      </c:pt>
                      <c:pt idx="2">
                        <c:v>730.97237165918796</c:v>
                      </c:pt>
                      <c:pt idx="3">
                        <c:v>762.77266693794411</c:v>
                      </c:pt>
                      <c:pt idx="4">
                        <c:v>749.26642416825359</c:v>
                      </c:pt>
                      <c:pt idx="5">
                        <c:v>669.57836046385864</c:v>
                      </c:pt>
                      <c:pt idx="6">
                        <c:v>649.76951839196227</c:v>
                      </c:pt>
                      <c:pt idx="7">
                        <c:v>648.86663662894364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B1C0-4FDC-B50B-A886BF5CBD27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Zielpfadgrafik'!$B$22:$C$22</c15:sqref>
                        </c15:formulaRef>
                      </c:ext>
                    </c:extLst>
                    <c:strCache>
                      <c:ptCount val="2"/>
                      <c:pt idx="0">
                        <c:v>0 - JEGM</c:v>
                      </c:pt>
                      <c:pt idx="1">
                        <c:v>aktueller Zielpfad**</c:v>
                      </c:pt>
                    </c:strCache>
                  </c:strRef>
                </c:tx>
                <c:spPr>
                  <a:ln w="25400" cap="rnd">
                    <a:solidFill>
                      <a:srgbClr val="0070C0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3175">
                      <a:solidFill>
                        <a:srgbClr val="0070C0"/>
                      </a:solidFill>
                      <a:prstDash val="sysDot"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Zielpfadgrafik'!$D$10:$AR$10</c15:sqref>
                        </c15:formulaRef>
                      </c:ext>
                    </c:extLst>
                    <c:numCache>
                      <c:formatCode>yyyy</c:formatCode>
                      <c:ptCount val="13"/>
                      <c:pt idx="0">
                        <c:v>43101</c:v>
                      </c:pt>
                      <c:pt idx="1">
                        <c:v>43466</c:v>
                      </c:pt>
                      <c:pt idx="2">
                        <c:v>43831</c:v>
                      </c:pt>
                      <c:pt idx="3">
                        <c:v>44197</c:v>
                      </c:pt>
                      <c:pt idx="4">
                        <c:v>44562</c:v>
                      </c:pt>
                      <c:pt idx="5">
                        <c:v>44927</c:v>
                      </c:pt>
                      <c:pt idx="6">
                        <c:v>45292</c:v>
                      </c:pt>
                      <c:pt idx="7">
                        <c:v>45658</c:v>
                      </c:pt>
                      <c:pt idx="8">
                        <c:v>46023</c:v>
                      </c:pt>
                      <c:pt idx="9">
                        <c:v>46388</c:v>
                      </c:pt>
                      <c:pt idx="10">
                        <c:v>46753</c:v>
                      </c:pt>
                      <c:pt idx="11">
                        <c:v>47119</c:v>
                      </c:pt>
                      <c:pt idx="12">
                        <c:v>47484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Zielpfadgrafik'!$D$22:$AR$22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2" formatCode="#,##0.0">
                        <c:v>813</c:v>
                      </c:pt>
                      <c:pt idx="3" formatCode="#,##0.0">
                        <c:v>786</c:v>
                      </c:pt>
                      <c:pt idx="4" formatCode="#,##0.0">
                        <c:v>758.84911016535102</c:v>
                      </c:pt>
                      <c:pt idx="5" formatCode="#,##0.0">
                        <c:v>723.95962367768686</c:v>
                      </c:pt>
                      <c:pt idx="6" formatCode="#,##0.0">
                        <c:v>693.37952355627158</c:v>
                      </c:pt>
                      <c:pt idx="7" formatCode="#,##0.0">
                        <c:v>661.64785775032317</c:v>
                      </c:pt>
                      <c:pt idx="8" formatCode="#,##0.0">
                        <c:v>625.2041019745991</c:v>
                      </c:pt>
                      <c:pt idx="9" formatCode="#,##0.0">
                        <c:v>586.2041019745991</c:v>
                      </c:pt>
                      <c:pt idx="10" formatCode="#,##0.0">
                        <c:v>544.2041019745991</c:v>
                      </c:pt>
                      <c:pt idx="11" formatCode="#,##0.0">
                        <c:v>503.20410197459898</c:v>
                      </c:pt>
                      <c:pt idx="12" formatCode="#,##0.0">
                        <c:v>459.20410197459898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1C0-4FDC-B50B-A886BF5CBD27}"/>
                  </c:ext>
                </c:extLst>
              </c15:ser>
            </c15:filteredLineSeries>
          </c:ext>
        </c:extLst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87728725852394E-2"/>
          <c:y val="0.78423956679549489"/>
          <c:w val="0.95581246656964092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12"/>
          <c:order val="0"/>
          <c:tx>
            <c:strRef>
              <c:f>'Daten Zielpfadgrafik'!$B$11</c:f>
              <c:strCache>
                <c:ptCount val="1"/>
                <c:pt idx="0">
                  <c:v>0 - JEGM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13"/>
                <c:pt idx="0">
                  <c:v>850.13500067779694</c:v>
                </c:pt>
                <c:pt idx="1">
                  <c:v>798.00052872004926</c:v>
                </c:pt>
                <c:pt idx="2">
                  <c:v>730.97237165918796</c:v>
                </c:pt>
                <c:pt idx="3">
                  <c:v>762.77266693794411</c:v>
                </c:pt>
                <c:pt idx="4">
                  <c:v>749.26642416825359</c:v>
                </c:pt>
                <c:pt idx="5">
                  <c:v>669.57836046385864</c:v>
                </c:pt>
                <c:pt idx="6">
                  <c:v>649.76951839196227</c:v>
                </c:pt>
                <c:pt idx="7">
                  <c:v>648.86663662894364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8-4B33-AEA0-28A9C39B19B1}"/>
            </c:ext>
          </c:extLst>
        </c:ser>
        <c:ser>
          <c:idx val="13"/>
          <c:order val="1"/>
          <c:tx>
            <c:strRef>
              <c:f>'Daten Zielpfadgrafik'!$B$22:$C$22</c:f>
              <c:strCache>
                <c:ptCount val="2"/>
                <c:pt idx="0">
                  <c:v>0 - JEGM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175">
                <a:solidFill>
                  <a:srgbClr val="0070C0"/>
                </a:solidFill>
                <a:prstDash val="sysDash"/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Zielpfadgrafik'!$D$22:$AR$22</c:f>
              <c:numCache>
                <c:formatCode>#,##0</c:formatCode>
                <c:ptCount val="13"/>
                <c:pt idx="2" formatCode="#,##0.0">
                  <c:v>813</c:v>
                </c:pt>
                <c:pt idx="3" formatCode="#,##0.0">
                  <c:v>786</c:v>
                </c:pt>
                <c:pt idx="4" formatCode="#,##0.0">
                  <c:v>758.84911016535102</c:v>
                </c:pt>
                <c:pt idx="5" formatCode="#,##0.0">
                  <c:v>723.95962367768686</c:v>
                </c:pt>
                <c:pt idx="6" formatCode="#,##0.0">
                  <c:v>693.37952355627158</c:v>
                </c:pt>
                <c:pt idx="7" formatCode="#,##0.0">
                  <c:v>661.64785775032317</c:v>
                </c:pt>
                <c:pt idx="8" formatCode="#,##0.0">
                  <c:v>625.2041019745991</c:v>
                </c:pt>
                <c:pt idx="9" formatCode="#,##0.0">
                  <c:v>586.2041019745991</c:v>
                </c:pt>
                <c:pt idx="10" formatCode="#,##0.0">
                  <c:v>544.2041019745991</c:v>
                </c:pt>
                <c:pt idx="11" formatCode="#,##0.0">
                  <c:v>503.20410197459898</c:v>
                </c:pt>
                <c:pt idx="12" formatCode="#,##0.0">
                  <c:v>459.20410197459898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8-4B33-AEA0-28A9C39B19B1}"/>
            </c:ext>
          </c:extLst>
        </c:ser>
        <c:ser>
          <c:idx val="0"/>
          <c:order val="2"/>
          <c:tx>
            <c:strRef>
              <c:f>'Daten Zielpfadgrafik'!$B$251</c:f>
              <c:strCache>
                <c:ptCount val="1"/>
                <c:pt idx="0">
                  <c:v>0 - JEGM Ursprungspfad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Zielpfadgrafik'!$D$251:$AR$251</c:f>
              <c:numCache>
                <c:formatCode>#,##0</c:formatCode>
                <c:ptCount val="13"/>
                <c:pt idx="2" formatCode="#,##0.0">
                  <c:v>813</c:v>
                </c:pt>
                <c:pt idx="3" formatCode="#,##0.0">
                  <c:v>786</c:v>
                </c:pt>
                <c:pt idx="4" formatCode="#,##0.0">
                  <c:v>756</c:v>
                </c:pt>
                <c:pt idx="5" formatCode="#,##0.0">
                  <c:v>720</c:v>
                </c:pt>
                <c:pt idx="6" formatCode="#,##0.0">
                  <c:v>682</c:v>
                </c:pt>
                <c:pt idx="7" formatCode="#,##0.0">
                  <c:v>643</c:v>
                </c:pt>
                <c:pt idx="8" formatCode="#,##0.0">
                  <c:v>604</c:v>
                </c:pt>
                <c:pt idx="9" formatCode="#,##0.0">
                  <c:v>565</c:v>
                </c:pt>
                <c:pt idx="10" formatCode="#,##0.0">
                  <c:v>523</c:v>
                </c:pt>
                <c:pt idx="11" formatCode="#,##0.0">
                  <c:v>482</c:v>
                </c:pt>
                <c:pt idx="12" formatCode="#,##0.0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3-41ED-B366-702F05016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  <c:min val="40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87728725852394E-2"/>
          <c:y val="0.78423956679549489"/>
          <c:w val="0.33577937828861448"/>
          <c:h val="0.15116720389584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Energiew.'!$B$12</c:f>
              <c:strCache>
                <c:ptCount val="1"/>
                <c:pt idx="0">
                  <c:v>CRF 1.A.1 - Energiewirtschaft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Energiew.'!$D$12:$AR$12</c:f>
              <c:numCache>
                <c:formatCode>#,##0.0</c:formatCode>
                <c:ptCount val="21"/>
                <c:pt idx="0">
                  <c:v>359.47744399105966</c:v>
                </c:pt>
                <c:pt idx="1">
                  <c:v>355.22484183579093</c:v>
                </c:pt>
                <c:pt idx="2">
                  <c:v>366.47716448913445</c:v>
                </c:pt>
                <c:pt idx="3">
                  <c:v>371.69209207023863</c:v>
                </c:pt>
                <c:pt idx="4">
                  <c:v>351.98572679619173</c:v>
                </c:pt>
                <c:pt idx="5">
                  <c:v>340.78685478773968</c:v>
                </c:pt>
                <c:pt idx="6">
                  <c:v>336.70113727171446</c:v>
                </c:pt>
                <c:pt idx="7">
                  <c:v>317.36104772226355</c:v>
                </c:pt>
                <c:pt idx="8">
                  <c:v>303.70409732917454</c:v>
                </c:pt>
                <c:pt idx="9">
                  <c:v>253.25889596900404</c:v>
                </c:pt>
                <c:pt idx="10">
                  <c:v>215.22405890159445</c:v>
                </c:pt>
                <c:pt idx="11">
                  <c:v>242.92982894524985</c:v>
                </c:pt>
                <c:pt idx="12">
                  <c:v>252.95325482536489</c:v>
                </c:pt>
                <c:pt idx="13">
                  <c:v>200.28858989840637</c:v>
                </c:pt>
                <c:pt idx="14">
                  <c:v>185.37373865575447</c:v>
                </c:pt>
                <c:pt idx="15">
                  <c:v>184.68844518978736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81D-9576-99B77C4EFF68}"/>
            </c:ext>
          </c:extLst>
        </c:ser>
        <c:ser>
          <c:idx val="2"/>
          <c:order val="1"/>
          <c:tx>
            <c:strRef>
              <c:f>'Daten Sektor Energiew.'!$B$13</c:f>
              <c:strCache>
                <c:ptCount val="1"/>
                <c:pt idx="0">
                  <c:v>CRF 1.A.3.e - Erdgasverdichter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Energiew.'!$D$13:$AR$13</c:f>
              <c:numCache>
                <c:formatCode>#,##0.0</c:formatCode>
                <c:ptCount val="21"/>
                <c:pt idx="0">
                  <c:v>1.1911170131017597</c:v>
                </c:pt>
                <c:pt idx="1">
                  <c:v>1.2433536741696603</c:v>
                </c:pt>
                <c:pt idx="2">
                  <c:v>1.2525282991120799</c:v>
                </c:pt>
                <c:pt idx="3">
                  <c:v>1.4891872567044371</c:v>
                </c:pt>
                <c:pt idx="4">
                  <c:v>1.21085578600882</c:v>
                </c:pt>
                <c:pt idx="5">
                  <c:v>1.2472838774839599</c:v>
                </c:pt>
                <c:pt idx="6">
                  <c:v>1.0601526192433401</c:v>
                </c:pt>
                <c:pt idx="7">
                  <c:v>1.26824681220186</c:v>
                </c:pt>
                <c:pt idx="8">
                  <c:v>1.3469831013109099</c:v>
                </c:pt>
                <c:pt idx="9">
                  <c:v>1.2098986901477897</c:v>
                </c:pt>
                <c:pt idx="10">
                  <c:v>0.77768307961819971</c:v>
                </c:pt>
                <c:pt idx="11">
                  <c:v>0.84724022320094006</c:v>
                </c:pt>
                <c:pt idx="12">
                  <c:v>1.3453856555505599</c:v>
                </c:pt>
                <c:pt idx="13">
                  <c:v>0.9483268295262397</c:v>
                </c:pt>
                <c:pt idx="14">
                  <c:v>0.6838217693514399</c:v>
                </c:pt>
                <c:pt idx="15">
                  <c:v>0.77135139806571995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B-481D-9576-99B77C4EFF68}"/>
            </c:ext>
          </c:extLst>
        </c:ser>
        <c:ser>
          <c:idx val="1"/>
          <c:order val="2"/>
          <c:tx>
            <c:strRef>
              <c:f>'Daten Sektor Energiew.'!$B$14</c:f>
              <c:strCache>
                <c:ptCount val="1"/>
                <c:pt idx="0">
                  <c:v>CRF 1.B - Diffuse Emissionen aus Brennstoffen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Energiew.'!$D$14:$AR$14</c:f>
              <c:numCache>
                <c:formatCode>#,##0.0</c:formatCode>
                <c:ptCount val="21"/>
                <c:pt idx="0">
                  <c:v>11.920216327139897</c:v>
                </c:pt>
                <c:pt idx="1">
                  <c:v>11.468699234225962</c:v>
                </c:pt>
                <c:pt idx="2">
                  <c:v>12.054281885472271</c:v>
                </c:pt>
                <c:pt idx="3">
                  <c:v>11.187117103277858</c:v>
                </c:pt>
                <c:pt idx="4">
                  <c:v>9.8255207325149172</c:v>
                </c:pt>
                <c:pt idx="5">
                  <c:v>9.6579892108982275</c:v>
                </c:pt>
                <c:pt idx="6">
                  <c:v>8.6273710751384947</c:v>
                </c:pt>
                <c:pt idx="7">
                  <c:v>8.2269089279924756</c:v>
                </c:pt>
                <c:pt idx="8">
                  <c:v>6.6509627281306409</c:v>
                </c:pt>
                <c:pt idx="9">
                  <c:v>4.7088170272567815</c:v>
                </c:pt>
                <c:pt idx="10">
                  <c:v>4.093466521955901</c:v>
                </c:pt>
                <c:pt idx="11">
                  <c:v>4.0054147105718103</c:v>
                </c:pt>
                <c:pt idx="12">
                  <c:v>3.7692734431557229</c:v>
                </c:pt>
                <c:pt idx="13">
                  <c:v>3.5919720365301688</c:v>
                </c:pt>
                <c:pt idx="14">
                  <c:v>3.6410312901736641</c:v>
                </c:pt>
                <c:pt idx="15">
                  <c:v>3.6281563503115524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3"/>
          <c:order val="3"/>
          <c:tx>
            <c:strRef>
              <c:f>'Daten Sektor Energiew.'!$B$15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D-4E32-9C74-E340F73B1A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D-4E32-9C74-E340F73B1A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D-4E32-9C74-E340F73B1A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D-4E32-9C74-E340F73B1A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D-4E32-9C74-E340F73B1A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D-4E32-9C74-E340F73B1A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D-4E32-9C74-E340F73B1A7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D-4E32-9C74-E340F73B1A7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AD-4E32-9C74-E340F73B1A7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D-4E32-9C74-E340F73B1A7B}"/>
                </c:ext>
              </c:extLst>
            </c:dLbl>
            <c:dLbl>
              <c:idx val="10"/>
              <c:layout>
                <c:manualLayout>
                  <c:x val="-3.0716207867381506E-2"/>
                  <c:y val="0.144242987956444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D-4030-9D67-9CE0B58E5AD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C-4AD3-ACCB-E3194DD96829}"/>
                </c:ext>
              </c:extLst>
            </c:dLbl>
            <c:dLbl>
              <c:idx val="12"/>
              <c:layout>
                <c:manualLayout>
                  <c:x val="-3.2822579641999729E-2"/>
                  <c:y val="0.198553918031121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D-4E32-9C74-E340F73B1A7B}"/>
                </c:ext>
              </c:extLst>
            </c:dLbl>
            <c:dLbl>
              <c:idx val="13"/>
              <c:layout>
                <c:manualLayout>
                  <c:x val="-3.2822579641999652E-2"/>
                  <c:y val="0.119803069422839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89-4003-B9FF-1998797DA152}"/>
                </c:ext>
              </c:extLst>
            </c:dLbl>
            <c:dLbl>
              <c:idx val="14"/>
              <c:layout>
                <c:manualLayout>
                  <c:x val="-3.2822579641999729E-2"/>
                  <c:y val="9.5363150889234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89-4003-B9FF-1998797DA152}"/>
                </c:ext>
              </c:extLst>
            </c:dLbl>
            <c:dLbl>
              <c:idx val="15"/>
              <c:layout>
                <c:manualLayout>
                  <c:x val="-3.0716207867381662E-2"/>
                  <c:y val="9.2647604385500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8-4584-98E8-532E79717331}"/>
                </c:ext>
              </c:extLst>
            </c:dLbl>
            <c:numFmt formatCode="#,##0" sourceLinked="0"/>
            <c:spPr>
              <a:solidFill>
                <a:schemeClr val="accent1">
                  <a:lumMod val="40000"/>
                  <a:lumOff val="60000"/>
                </a:schemeClr>
              </a:solidFill>
              <a:ln w="25400">
                <a:solidFill>
                  <a:schemeClr val="accent1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Energiew.'!$D$15:$AR$15</c:f>
              <c:numCache>
                <c:formatCode>#,##0.0</c:formatCode>
                <c:ptCount val="21"/>
                <c:pt idx="0">
                  <c:v>372.58877733130129</c:v>
                </c:pt>
                <c:pt idx="1">
                  <c:v>367.93689474418659</c:v>
                </c:pt>
                <c:pt idx="2">
                  <c:v>379.78397467371877</c:v>
                </c:pt>
                <c:pt idx="3">
                  <c:v>384.36839643022091</c:v>
                </c:pt>
                <c:pt idx="4">
                  <c:v>363.02210331471542</c:v>
                </c:pt>
                <c:pt idx="5">
                  <c:v>351.6921278761219</c:v>
                </c:pt>
                <c:pt idx="6">
                  <c:v>346.38866096609632</c:v>
                </c:pt>
                <c:pt idx="7">
                  <c:v>326.85620346245787</c:v>
                </c:pt>
                <c:pt idx="8">
                  <c:v>311.70204315861605</c:v>
                </c:pt>
                <c:pt idx="9">
                  <c:v>259.17761168640862</c:v>
                </c:pt>
                <c:pt idx="10">
                  <c:v>220.09520850316858</c:v>
                </c:pt>
                <c:pt idx="11">
                  <c:v>247.78248387902258</c:v>
                </c:pt>
                <c:pt idx="12">
                  <c:v>258.06791392407115</c:v>
                </c:pt>
                <c:pt idx="13">
                  <c:v>204.82888876446282</c:v>
                </c:pt>
                <c:pt idx="14">
                  <c:v>189.69859171527955</c:v>
                </c:pt>
                <c:pt idx="15">
                  <c:v>189.08795293816465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B-481D-9576-99B77C4EFF68}"/>
            </c:ext>
          </c:extLst>
        </c:ser>
        <c:ser>
          <c:idx val="6"/>
          <c:order val="4"/>
          <c:tx>
            <c:strRef>
              <c:f>'Daten Sektor Energiew.'!$B$17:$C$17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6503464318145067E-2"/>
                  <c:y val="-3.76986277937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24-45C1-8E66-2902AB72B83F}"/>
                </c:ext>
              </c:extLst>
            </c:dLbl>
            <c:dLbl>
              <c:idx val="12"/>
              <c:layout>
                <c:manualLayout>
                  <c:x val="-3.0716207867381429E-2"/>
                  <c:y val="-3.76986277937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D-4E32-9C74-E340F73B1A7B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1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Energiew.'!$D$17:$AR$17</c:f>
              <c:numCache>
                <c:formatCode>#,##0.0</c:formatCode>
                <c:ptCount val="21"/>
                <c:pt idx="10" formatCode="#,##0">
                  <c:v>280</c:v>
                </c:pt>
                <c:pt idx="11" formatCode="#,##0">
                  <c:v>#N/A</c:v>
                </c:pt>
                <c:pt idx="12" formatCode="#,##0">
                  <c:v>257</c:v>
                </c:pt>
                <c:pt idx="13" formatCode="#,##0">
                  <c:v>#N/A</c:v>
                </c:pt>
                <c:pt idx="14" formatCode="#,##0">
                  <c:v>#N/A</c:v>
                </c:pt>
                <c:pt idx="15" formatCode="#,##0">
                  <c:v>#N/A</c:v>
                </c:pt>
                <c:pt idx="16" formatCode="#,##0">
                  <c:v>#N/A</c:v>
                </c:pt>
                <c:pt idx="17" formatCode="#,##0">
                  <c:v>#N/A</c:v>
                </c:pt>
                <c:pt idx="18" formatCode="#,##0">
                  <c:v>#N/A</c:v>
                </c:pt>
                <c:pt idx="19" formatCode="#,##0">
                  <c:v>#N/A</c:v>
                </c:pt>
                <c:pt idx="20" formatCode="#,##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81D-9576-99B77C4EFF68}"/>
            </c:ext>
          </c:extLst>
        </c:ser>
        <c:ser>
          <c:idx val="4"/>
          <c:order val="5"/>
          <c:tx>
            <c:strRef>
              <c:f>'Daten Sektor Energiew.'!$B$16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Energiew.'!$D$16:$AR$16</c:f>
              <c:numCache>
                <c:formatCode>#,##0.0</c:formatCode>
                <c:ptCount val="21"/>
                <c:pt idx="3">
                  <c:v>329.46079246000011</c:v>
                </c:pt>
                <c:pt idx="4">
                  <c:v>308.79725913599998</c:v>
                </c:pt>
                <c:pt idx="5">
                  <c:v>303.30683612200005</c:v>
                </c:pt>
                <c:pt idx="6">
                  <c:v>300.52876027400094</c:v>
                </c:pt>
                <c:pt idx="7">
                  <c:v>282.70451282600101</c:v>
                </c:pt>
                <c:pt idx="8">
                  <c:v>269.91655696499993</c:v>
                </c:pt>
                <c:pt idx="9">
                  <c:v>216.59083173400001</c:v>
                </c:pt>
                <c:pt idx="10">
                  <c:v>182.62705738699998</c:v>
                </c:pt>
                <c:pt idx="11">
                  <c:v>210.01669495783537</c:v>
                </c:pt>
                <c:pt idx="12">
                  <c:v>221.06889694421494</c:v>
                </c:pt>
                <c:pt idx="13">
                  <c:v>168.63280266534514</c:v>
                </c:pt>
                <c:pt idx="14">
                  <c:v>152.45197543466884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A-4849-8DD5-42C794F2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0324839232163181"/>
          <c:w val="0.99461017609765601"/>
          <c:h val="0.1235627114838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Industrie'!$B$12</c:f>
              <c:strCache>
                <c:ptCount val="1"/>
                <c:pt idx="0">
                  <c:v>CRF 1.A.2 - Verarbeitendes Gewerbe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Industrie'!$D$12:$AR$12</c:f>
              <c:numCache>
                <c:formatCode>#,##0.0</c:formatCode>
                <c:ptCount val="21"/>
                <c:pt idx="0">
                  <c:v>121.8782935580367</c:v>
                </c:pt>
                <c:pt idx="1">
                  <c:v>118.45713788466229</c:v>
                </c:pt>
                <c:pt idx="2">
                  <c:v>116.49745562377133</c:v>
                </c:pt>
                <c:pt idx="3">
                  <c:v>116.50805205792247</c:v>
                </c:pt>
                <c:pt idx="4">
                  <c:v>115.35237180836316</c:v>
                </c:pt>
                <c:pt idx="5">
                  <c:v>122.99938559095509</c:v>
                </c:pt>
                <c:pt idx="6">
                  <c:v>125.11965667777926</c:v>
                </c:pt>
                <c:pt idx="7">
                  <c:v>127.02342396235412</c:v>
                </c:pt>
                <c:pt idx="8">
                  <c:v>122.49750741859441</c:v>
                </c:pt>
                <c:pt idx="9">
                  <c:v>119.94428360423439</c:v>
                </c:pt>
                <c:pt idx="10">
                  <c:v>117.39394415512712</c:v>
                </c:pt>
                <c:pt idx="11">
                  <c:v>123.24496321975518</c:v>
                </c:pt>
                <c:pt idx="12">
                  <c:v>112.80011984361279</c:v>
                </c:pt>
                <c:pt idx="13">
                  <c:v>102.69741676936502</c:v>
                </c:pt>
                <c:pt idx="14">
                  <c:v>101.87777321941945</c:v>
                </c:pt>
                <c:pt idx="15">
                  <c:v>98.206709345416499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084-87D2-36BBA94A6C43}"/>
            </c:ext>
          </c:extLst>
        </c:ser>
        <c:ser>
          <c:idx val="1"/>
          <c:order val="1"/>
          <c:tx>
            <c:strRef>
              <c:f>'Daten Sektor Industrie'!$B$13</c:f>
              <c:strCache>
                <c:ptCount val="1"/>
                <c:pt idx="0">
                  <c:v>CRF 2.A - Herstellung mineralischer Produkte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Industrie'!$D$13:$AR$13</c:f>
              <c:numCache>
                <c:formatCode>#,##0.0</c:formatCode>
                <c:ptCount val="21"/>
                <c:pt idx="0">
                  <c:v>18.97718202646637</c:v>
                </c:pt>
                <c:pt idx="1">
                  <c:v>20.178988661134785</c:v>
                </c:pt>
                <c:pt idx="2">
                  <c:v>19.665716849405289</c:v>
                </c:pt>
                <c:pt idx="3">
                  <c:v>19.073370355693481</c:v>
                </c:pt>
                <c:pt idx="4">
                  <c:v>19.638083771418035</c:v>
                </c:pt>
                <c:pt idx="5">
                  <c:v>19.221312421853476</c:v>
                </c:pt>
                <c:pt idx="6">
                  <c:v>19.228260527882799</c:v>
                </c:pt>
                <c:pt idx="7">
                  <c:v>19.933552517479935</c:v>
                </c:pt>
                <c:pt idx="8">
                  <c:v>19.807482634354653</c:v>
                </c:pt>
                <c:pt idx="9">
                  <c:v>19.569242430160607</c:v>
                </c:pt>
                <c:pt idx="10">
                  <c:v>19.201696960959183</c:v>
                </c:pt>
                <c:pt idx="11">
                  <c:v>19.994870896526315</c:v>
                </c:pt>
                <c:pt idx="12">
                  <c:v>18.727334137133912</c:v>
                </c:pt>
                <c:pt idx="13">
                  <c:v>15.964597919855491</c:v>
                </c:pt>
                <c:pt idx="14">
                  <c:v>15.079792072213854</c:v>
                </c:pt>
                <c:pt idx="15">
                  <c:v>14.818660824693799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084-87D2-36BBA94A6C43}"/>
            </c:ext>
          </c:extLst>
        </c:ser>
        <c:ser>
          <c:idx val="2"/>
          <c:order val="2"/>
          <c:tx>
            <c:strRef>
              <c:f>'Daten Sektor Industrie'!$B$14</c:f>
              <c:strCache>
                <c:ptCount val="1"/>
                <c:pt idx="0">
                  <c:v>CRF 2.B - Chemische Industrie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Industrie'!$D$14:$AR$14</c:f>
              <c:numCache>
                <c:formatCode>#,##0.0</c:formatCode>
                <c:ptCount val="21"/>
                <c:pt idx="0">
                  <c:v>10.321726430934476</c:v>
                </c:pt>
                <c:pt idx="1">
                  <c:v>9.6906239952800242</c:v>
                </c:pt>
                <c:pt idx="2">
                  <c:v>9.5466180510602019</c:v>
                </c:pt>
                <c:pt idx="3">
                  <c:v>9.5710601504680941</c:v>
                </c:pt>
                <c:pt idx="4">
                  <c:v>7.5290923810181392</c:v>
                </c:pt>
                <c:pt idx="5">
                  <c:v>6.8703113053431686</c:v>
                </c:pt>
                <c:pt idx="6">
                  <c:v>6.9000958907252619</c:v>
                </c:pt>
                <c:pt idx="7">
                  <c:v>6.8730324905706794</c:v>
                </c:pt>
                <c:pt idx="8">
                  <c:v>6.7019437998059228</c:v>
                </c:pt>
                <c:pt idx="9">
                  <c:v>6.481801179062062</c:v>
                </c:pt>
                <c:pt idx="10">
                  <c:v>6.5006026590411281</c:v>
                </c:pt>
                <c:pt idx="11">
                  <c:v>6.3607577455794768</c:v>
                </c:pt>
                <c:pt idx="12">
                  <c:v>5.1571590619762588</c:v>
                </c:pt>
                <c:pt idx="13">
                  <c:v>4.7139711120167922</c:v>
                </c:pt>
                <c:pt idx="14">
                  <c:v>5.0348674922757803</c:v>
                </c:pt>
                <c:pt idx="15">
                  <c:v>5.0539246795849646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084-87D2-36BBA94A6C43}"/>
            </c:ext>
          </c:extLst>
        </c:ser>
        <c:ser>
          <c:idx val="3"/>
          <c:order val="3"/>
          <c:tx>
            <c:strRef>
              <c:f>'Daten Sektor Industrie'!$B$15</c:f>
              <c:strCache>
                <c:ptCount val="1"/>
                <c:pt idx="0">
                  <c:v>CRF 2.C - Herstellung von Metallen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Industrie'!$D$15:$AR$15</c:f>
              <c:numCache>
                <c:formatCode>#,##0.0</c:formatCode>
                <c:ptCount val="21"/>
                <c:pt idx="0">
                  <c:v>16.661484410414829</c:v>
                </c:pt>
                <c:pt idx="1">
                  <c:v>17.236508485664185</c:v>
                </c:pt>
                <c:pt idx="2">
                  <c:v>14.879060608255012</c:v>
                </c:pt>
                <c:pt idx="3">
                  <c:v>15.375044641465658</c:v>
                </c:pt>
                <c:pt idx="4">
                  <c:v>17.114747878477647</c:v>
                </c:pt>
                <c:pt idx="5">
                  <c:v>17.021551401093639</c:v>
                </c:pt>
                <c:pt idx="6">
                  <c:v>18.583937820572956</c:v>
                </c:pt>
                <c:pt idx="7">
                  <c:v>21.822335931970368</c:v>
                </c:pt>
                <c:pt idx="8">
                  <c:v>20.072751583806301</c:v>
                </c:pt>
                <c:pt idx="9">
                  <c:v>18.183509535573563</c:v>
                </c:pt>
                <c:pt idx="10">
                  <c:v>15.970708376422927</c:v>
                </c:pt>
                <c:pt idx="11">
                  <c:v>17.70399347468312</c:v>
                </c:pt>
                <c:pt idx="12">
                  <c:v>15.656331227016732</c:v>
                </c:pt>
                <c:pt idx="13">
                  <c:v>15.389544318875981</c:v>
                </c:pt>
                <c:pt idx="14">
                  <c:v>17.067213388259677</c:v>
                </c:pt>
                <c:pt idx="15">
                  <c:v>15.5960696227322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78-4084-87D2-36BBA94A6C43}"/>
            </c:ext>
          </c:extLst>
        </c:ser>
        <c:ser>
          <c:idx val="4"/>
          <c:order val="4"/>
          <c:tx>
            <c:strRef>
              <c:f>'Daten Sektor Industrie'!$B$16</c:f>
              <c:strCache>
                <c:ptCount val="1"/>
                <c:pt idx="0">
                  <c:v>CRF 2.D-H - übrige Prozesse und Produktverwendungen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Industrie'!$D$16:$AR$16</c:f>
              <c:numCache>
                <c:formatCode>#,##0.0</c:formatCode>
                <c:ptCount val="21"/>
                <c:pt idx="0">
                  <c:v>15.889926215838734</c:v>
                </c:pt>
                <c:pt idx="1">
                  <c:v>16.172200294455234</c:v>
                </c:pt>
                <c:pt idx="2">
                  <c:v>16.399216759499758</c:v>
                </c:pt>
                <c:pt idx="3">
                  <c:v>16.379391457921002</c:v>
                </c:pt>
                <c:pt idx="4">
                  <c:v>16.418484098192867</c:v>
                </c:pt>
                <c:pt idx="5">
                  <c:v>16.766402379495805</c:v>
                </c:pt>
                <c:pt idx="6">
                  <c:v>16.739432779386878</c:v>
                </c:pt>
                <c:pt idx="7">
                  <c:v>16.651708012122523</c:v>
                </c:pt>
                <c:pt idx="8">
                  <c:v>15.652799204296876</c:v>
                </c:pt>
                <c:pt idx="9">
                  <c:v>14.82724752857956</c:v>
                </c:pt>
                <c:pt idx="10">
                  <c:v>13.260190218309312</c:v>
                </c:pt>
                <c:pt idx="11">
                  <c:v>12.767532614644379</c:v>
                </c:pt>
                <c:pt idx="12">
                  <c:v>11.904678897048747</c:v>
                </c:pt>
                <c:pt idx="13">
                  <c:v>10.95435871237221</c:v>
                </c:pt>
                <c:pt idx="14">
                  <c:v>10.707478750433904</c:v>
                </c:pt>
                <c:pt idx="15">
                  <c:v>10.466324607526253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5"/>
          <c:tx>
            <c:strRef>
              <c:f>'Daten Sektor Industrie'!$B$17</c:f>
              <c:strCache>
                <c:ptCount val="1"/>
                <c:pt idx="0">
                  <c:v>2- Industrie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F4-489A-9312-475BFC1889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4-489A-9312-475BFC1889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F4-489A-9312-475BFC1889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F4-489A-9312-475BFC1889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F4-489A-9312-475BFC1889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F4-489A-9312-475BFC1889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F4-489A-9312-475BFC1889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F4-489A-9312-475BFC1889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F4-489A-9312-475BFC1889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F4-489A-9312-475BFC18893F}"/>
                </c:ext>
              </c:extLst>
            </c:dLbl>
            <c:dLbl>
              <c:idx val="10"/>
              <c:layout>
                <c:manualLayout>
                  <c:x val="-2.948920484465516E-2"/>
                  <c:y val="0.24711473183978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7-4E6A-A534-F4B40E61D62C}"/>
                </c:ext>
              </c:extLst>
            </c:dLbl>
            <c:dLbl>
              <c:idx val="11"/>
              <c:layout>
                <c:manualLayout>
                  <c:x val="-2.948920484465516E-2"/>
                  <c:y val="0.26883910386965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B-4A3E-977E-B41093C95379}"/>
                </c:ext>
              </c:extLst>
            </c:dLbl>
            <c:dLbl>
              <c:idx val="12"/>
              <c:layout>
                <c:manualLayout>
                  <c:x val="-3.1595576619273223E-2"/>
                  <c:y val="0.22810590631364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9-4B12-9C91-4C4E68AC67D7}"/>
                </c:ext>
              </c:extLst>
            </c:dLbl>
            <c:dLbl>
              <c:idx val="13"/>
              <c:layout>
                <c:manualLayout>
                  <c:x val="-2.948920484465508E-2"/>
                  <c:y val="0.187372708757637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F4-489A-9312-475BFC18893F}"/>
                </c:ext>
              </c:extLst>
            </c:dLbl>
            <c:dLbl>
              <c:idx val="14"/>
              <c:layout>
                <c:manualLayout>
                  <c:x val="-3.15955766192733E-2"/>
                  <c:y val="0.18737270875763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E-4535-84BE-17216DF6D76E}"/>
                </c:ext>
              </c:extLst>
            </c:dLbl>
            <c:dLbl>
              <c:idx val="15"/>
              <c:layout>
                <c:manualLayout>
                  <c:x val="-3.15955766192733E-2"/>
                  <c:y val="0.176510522742701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35-41B6-B788-A3FCE9C1B6AC}"/>
                </c:ext>
              </c:extLst>
            </c:dLbl>
            <c:numFmt formatCode="#,##0" sourceLinked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183.72861264169111</c:v>
                </c:pt>
                <c:pt idx="1">
                  <c:v>181.73545932119652</c:v>
                </c:pt>
                <c:pt idx="2">
                  <c:v>176.98806789199159</c:v>
                </c:pt>
                <c:pt idx="3">
                  <c:v>176.90691866347069</c:v>
                </c:pt>
                <c:pt idx="4">
                  <c:v>176.05277993746981</c:v>
                </c:pt>
                <c:pt idx="5">
                  <c:v>182.8789630987412</c:v>
                </c:pt>
                <c:pt idx="6">
                  <c:v>186.57138369634714</c:v>
                </c:pt>
                <c:pt idx="7">
                  <c:v>192.30405291449762</c:v>
                </c:pt>
                <c:pt idx="8">
                  <c:v>184.73248464085813</c:v>
                </c:pt>
                <c:pt idx="9">
                  <c:v>179.00608427761014</c:v>
                </c:pt>
                <c:pt idx="10">
                  <c:v>172.32714236985967</c:v>
                </c:pt>
                <c:pt idx="11">
                  <c:v>180.07211795118846</c:v>
                </c:pt>
                <c:pt idx="12">
                  <c:v>164.24562316678845</c:v>
                </c:pt>
                <c:pt idx="13">
                  <c:v>149.71988883248548</c:v>
                </c:pt>
                <c:pt idx="14">
                  <c:v>149.76712492260268</c:v>
                </c:pt>
                <c:pt idx="15">
                  <c:v>144.14168907995369</c:v>
                </c:pt>
              </c:numCache>
            </c:numRef>
          </c:cat>
          <c:val>
            <c:numRef>
              <c:f>'Daten Sektor Industrie'!$D$17:$AR$17</c:f>
              <c:numCache>
                <c:formatCode>#,##0.0</c:formatCode>
                <c:ptCount val="21"/>
                <c:pt idx="0">
                  <c:v>183.72861264169111</c:v>
                </c:pt>
                <c:pt idx="1">
                  <c:v>181.73545932119652</c:v>
                </c:pt>
                <c:pt idx="2">
                  <c:v>176.98806789199159</c:v>
                </c:pt>
                <c:pt idx="3">
                  <c:v>176.90691866347069</c:v>
                </c:pt>
                <c:pt idx="4">
                  <c:v>176.05277993746981</c:v>
                </c:pt>
                <c:pt idx="5">
                  <c:v>182.8789630987412</c:v>
                </c:pt>
                <c:pt idx="6">
                  <c:v>186.57138369634714</c:v>
                </c:pt>
                <c:pt idx="7">
                  <c:v>192.30405291449762</c:v>
                </c:pt>
                <c:pt idx="8">
                  <c:v>184.73248464085813</c:v>
                </c:pt>
                <c:pt idx="9">
                  <c:v>179.00608427761014</c:v>
                </c:pt>
                <c:pt idx="10">
                  <c:v>172.32714236985967</c:v>
                </c:pt>
                <c:pt idx="11">
                  <c:v>180.07211795118846</c:v>
                </c:pt>
                <c:pt idx="12">
                  <c:v>164.24562316678845</c:v>
                </c:pt>
                <c:pt idx="13">
                  <c:v>149.71988883248548</c:v>
                </c:pt>
                <c:pt idx="14">
                  <c:v>149.76712492260268</c:v>
                </c:pt>
                <c:pt idx="15">
                  <c:v>144.14168907995369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8-4084-87D2-36BBA94A6C43}"/>
            </c:ext>
          </c:extLst>
        </c:ser>
        <c:ser>
          <c:idx val="7"/>
          <c:order val="6"/>
          <c:tx>
            <c:strRef>
              <c:f>'Daten Sektor Industrie'!$B$19:$C$19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0716207867381506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3-4981-A2A1-FBB3A5EC52BB}"/>
                </c:ext>
              </c:extLst>
            </c:dLbl>
            <c:dLbl>
              <c:idx val="11"/>
              <c:layout>
                <c:manualLayout>
                  <c:x val="-2.8609836092763286E-2"/>
                  <c:y val="-8.657846486093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F4-489A-9312-475BFC18893F}"/>
                </c:ext>
              </c:extLst>
            </c:dLbl>
            <c:dLbl>
              <c:idx val="12"/>
              <c:layout>
                <c:manualLayout>
                  <c:x val="-3.0716207867381429E-2"/>
                  <c:y val="-8.9294011364669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78-4084-87D2-36BBA94A6C43}"/>
                </c:ext>
              </c:extLst>
            </c:dLbl>
            <c:dLbl>
              <c:idx val="13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78-4084-87D2-36BBA94A6C43}"/>
                </c:ext>
              </c:extLst>
            </c:dLbl>
            <c:dLbl>
              <c:idx val="14"/>
              <c:layout>
                <c:manualLayout>
                  <c:x val="-2.6503464318145067E-2"/>
                  <c:y val="-7.5716278845999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E-4535-84BE-17216DF6D76E}"/>
                </c:ext>
              </c:extLst>
            </c:dLbl>
            <c:dLbl>
              <c:idx val="15"/>
              <c:layout>
                <c:manualLayout>
                  <c:x val="-2.8609836092763286E-2"/>
                  <c:y val="-7.8431825349733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6E-4535-84BE-17216DF6D76E}"/>
                </c:ext>
              </c:extLst>
            </c:dLbl>
            <c:dLbl>
              <c:idx val="16"/>
              <c:layout>
                <c:manualLayout>
                  <c:x val="-2.7382833070036861E-2"/>
                  <c:y val="-6.7888662593346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78-4084-87D2-36BBA94A6C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78-4084-87D2-36BBA94A6C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78-4084-87D2-36BBA94A6C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78-4084-87D2-36BBA94A6C43}"/>
                </c:ext>
              </c:extLst>
            </c:dLbl>
            <c:numFmt formatCode="#,##0" sourceLinked="0"/>
            <c:spPr>
              <a:noFill/>
              <a:ln w="28575">
                <a:solidFill>
                  <a:schemeClr val="accent4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183.72861264169111</c:v>
                </c:pt>
                <c:pt idx="1">
                  <c:v>181.73545932119652</c:v>
                </c:pt>
                <c:pt idx="2">
                  <c:v>176.98806789199159</c:v>
                </c:pt>
                <c:pt idx="3">
                  <c:v>176.90691866347069</c:v>
                </c:pt>
                <c:pt idx="4">
                  <c:v>176.05277993746981</c:v>
                </c:pt>
                <c:pt idx="5">
                  <c:v>182.8789630987412</c:v>
                </c:pt>
                <c:pt idx="6">
                  <c:v>186.57138369634714</c:v>
                </c:pt>
                <c:pt idx="7">
                  <c:v>192.30405291449762</c:v>
                </c:pt>
                <c:pt idx="8">
                  <c:v>184.73248464085813</c:v>
                </c:pt>
                <c:pt idx="9">
                  <c:v>179.00608427761014</c:v>
                </c:pt>
                <c:pt idx="10">
                  <c:v>172.32714236985967</c:v>
                </c:pt>
                <c:pt idx="11">
                  <c:v>180.07211795118846</c:v>
                </c:pt>
                <c:pt idx="12">
                  <c:v>164.24562316678845</c:v>
                </c:pt>
                <c:pt idx="13">
                  <c:v>149.71988883248548</c:v>
                </c:pt>
                <c:pt idx="14">
                  <c:v>149.76712492260268</c:v>
                </c:pt>
                <c:pt idx="15">
                  <c:v>144.14168907995369</c:v>
                </c:pt>
              </c:numCache>
            </c:numRef>
          </c:cat>
          <c:val>
            <c:numRef>
              <c:f>'Daten Sektor Industrie'!$D$19:$AR$19</c:f>
              <c:numCache>
                <c:formatCode>#,##0.0</c:formatCode>
                <c:ptCount val="21"/>
                <c:pt idx="10">
                  <c:v>186</c:v>
                </c:pt>
                <c:pt idx="11">
                  <c:v>182</c:v>
                </c:pt>
                <c:pt idx="12">
                  <c:v>176.86086659631175</c:v>
                </c:pt>
                <c:pt idx="13" formatCode="#,##0">
                  <c:v>172.985406483856</c:v>
                </c:pt>
                <c:pt idx="14" formatCode="#,##0">
                  <c:v>168.85135902837555</c:v>
                </c:pt>
                <c:pt idx="15" formatCode="#,##0">
                  <c:v>164.03206471267103</c:v>
                </c:pt>
                <c:pt idx="16" formatCode="#,##0">
                  <c:v>160.0101398392145</c:v>
                </c:pt>
                <c:pt idx="17" formatCode="#,##0">
                  <c:v>151.0101398392145</c:v>
                </c:pt>
                <c:pt idx="18" formatCode="#,##0">
                  <c:v>143.0101398392145</c:v>
                </c:pt>
                <c:pt idx="19" formatCode="#,##0">
                  <c:v>136.01013983921447</c:v>
                </c:pt>
                <c:pt idx="20" formatCode="#,##0">
                  <c:v>129.01013983921447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978-4084-87D2-36BBA94A6C43}"/>
            </c:ext>
          </c:extLst>
        </c:ser>
        <c:ser>
          <c:idx val="8"/>
          <c:order val="7"/>
          <c:tx>
            <c:strRef>
              <c:f>'Daten Sektor Industrie'!$B$18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183.72861264169111</c:v>
                </c:pt>
                <c:pt idx="1">
                  <c:v>181.73545932119652</c:v>
                </c:pt>
                <c:pt idx="2">
                  <c:v>176.98806789199159</c:v>
                </c:pt>
                <c:pt idx="3">
                  <c:v>176.90691866347069</c:v>
                </c:pt>
                <c:pt idx="4">
                  <c:v>176.05277993746981</c:v>
                </c:pt>
                <c:pt idx="5">
                  <c:v>182.8789630987412</c:v>
                </c:pt>
                <c:pt idx="6">
                  <c:v>186.57138369634714</c:v>
                </c:pt>
                <c:pt idx="7">
                  <c:v>192.30405291449762</c:v>
                </c:pt>
                <c:pt idx="8">
                  <c:v>184.73248464085813</c:v>
                </c:pt>
                <c:pt idx="9">
                  <c:v>179.00608427761014</c:v>
                </c:pt>
                <c:pt idx="10">
                  <c:v>172.32714236985967</c:v>
                </c:pt>
                <c:pt idx="11">
                  <c:v>180.07211795118846</c:v>
                </c:pt>
                <c:pt idx="12">
                  <c:v>164.24562316678845</c:v>
                </c:pt>
                <c:pt idx="13">
                  <c:v>149.71988883248548</c:v>
                </c:pt>
                <c:pt idx="14">
                  <c:v>149.76712492260268</c:v>
                </c:pt>
                <c:pt idx="15">
                  <c:v>144.14168907995369</c:v>
                </c:pt>
              </c:numCache>
            </c:numRef>
          </c:cat>
          <c:val>
            <c:numRef>
              <c:f>'Daten Sektor Industrie'!$D$18:$AR$18</c:f>
              <c:numCache>
                <c:formatCode>#,##0.0</c:formatCode>
                <c:ptCount val="21"/>
                <c:pt idx="3">
                  <c:v>150.78321210599998</c:v>
                </c:pt>
                <c:pt idx="4">
                  <c:v>151.66365511999999</c:v>
                </c:pt>
                <c:pt idx="5">
                  <c:v>151.48456130900007</c:v>
                </c:pt>
                <c:pt idx="6">
                  <c:v>151.70517644100002</c:v>
                </c:pt>
                <c:pt idx="7">
                  <c:v>154.33143690000003</c:v>
                </c:pt>
                <c:pt idx="8">
                  <c:v>152.37655838999768</c:v>
                </c:pt>
                <c:pt idx="9">
                  <c:v>146.16528374199999</c:v>
                </c:pt>
                <c:pt idx="10">
                  <c:v>137.10131589599999</c:v>
                </c:pt>
                <c:pt idx="11">
                  <c:v>144.63957132734464</c:v>
                </c:pt>
                <c:pt idx="12">
                  <c:v>132.45056138003443</c:v>
                </c:pt>
                <c:pt idx="13">
                  <c:v>120.32417928894213</c:v>
                </c:pt>
                <c:pt idx="14">
                  <c:v>119.99500099141413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C70-BE18-4BADAFED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Industrie'!$C$6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6424765624676059E-3"/>
          <c:y val="0.79315874721362467"/>
          <c:w val="0.98439576569516485"/>
          <c:h val="0.14438368320049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Gebäude'!$B$12</c:f>
              <c:strCache>
                <c:ptCount val="1"/>
                <c:pt idx="0">
                  <c:v>CRF 1.A.4.a - Gewerbe, Handel, Dienstleistung (ohne Militär und Landwirtschaft)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Gebäude'!$D$12:$AR$12</c:f>
              <c:numCache>
                <c:formatCode>#,##0.0</c:formatCode>
                <c:ptCount val="21"/>
                <c:pt idx="0">
                  <c:v>37.139761894207375</c:v>
                </c:pt>
                <c:pt idx="1">
                  <c:v>34.529421480464656</c:v>
                </c:pt>
                <c:pt idx="2">
                  <c:v>33.293120274177625</c:v>
                </c:pt>
                <c:pt idx="3">
                  <c:v>37.948911297798702</c:v>
                </c:pt>
                <c:pt idx="4">
                  <c:v>33.3238521251333</c:v>
                </c:pt>
                <c:pt idx="5">
                  <c:v>34.988081845591566</c:v>
                </c:pt>
                <c:pt idx="6">
                  <c:v>31.42474139801509</c:v>
                </c:pt>
                <c:pt idx="7">
                  <c:v>32.125182616270585</c:v>
                </c:pt>
                <c:pt idx="8">
                  <c:v>27.189622376377532</c:v>
                </c:pt>
                <c:pt idx="9">
                  <c:v>26.057444846621038</c:v>
                </c:pt>
                <c:pt idx="10">
                  <c:v>24.965118674820324</c:v>
                </c:pt>
                <c:pt idx="11">
                  <c:v>24.907048872029478</c:v>
                </c:pt>
                <c:pt idx="12">
                  <c:v>25.192629078926235</c:v>
                </c:pt>
                <c:pt idx="13">
                  <c:v>22.126450927921613</c:v>
                </c:pt>
                <c:pt idx="14">
                  <c:v>21.493967062840962</c:v>
                </c:pt>
                <c:pt idx="15">
                  <c:v>23.090605887872005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2-4755-9E96-DC55ADA1CECB}"/>
            </c:ext>
          </c:extLst>
        </c:ser>
        <c:ser>
          <c:idx val="1"/>
          <c:order val="1"/>
          <c:tx>
            <c:strRef>
              <c:f>'Daten Sektor Gebäude'!$B$13</c:f>
              <c:strCache>
                <c:ptCount val="1"/>
                <c:pt idx="0">
                  <c:v>CRF 1.A.4.b - Haushalte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Gebäude'!$D$13:$AR$13</c:f>
              <c:numCache>
                <c:formatCode>#,##0.0</c:formatCode>
                <c:ptCount val="21"/>
                <c:pt idx="0">
                  <c:v>106.55134488116026</c:v>
                </c:pt>
                <c:pt idx="1">
                  <c:v>89.086723920058958</c:v>
                </c:pt>
                <c:pt idx="2">
                  <c:v>95.266592560024051</c:v>
                </c:pt>
                <c:pt idx="3">
                  <c:v>101.22159785128413</c:v>
                </c:pt>
                <c:pt idx="4">
                  <c:v>84.309456213481695</c:v>
                </c:pt>
                <c:pt idx="5">
                  <c:v>88.794371476841519</c:v>
                </c:pt>
                <c:pt idx="6">
                  <c:v>91.699303404450447</c:v>
                </c:pt>
                <c:pt idx="7">
                  <c:v>90.000755562839714</c:v>
                </c:pt>
                <c:pt idx="8">
                  <c:v>89.732195867403377</c:v>
                </c:pt>
                <c:pt idx="9">
                  <c:v>96.50285950914035</c:v>
                </c:pt>
                <c:pt idx="10">
                  <c:v>95.80456607203881</c:v>
                </c:pt>
                <c:pt idx="11">
                  <c:v>92.064965266348949</c:v>
                </c:pt>
                <c:pt idx="12">
                  <c:v>85.255377412158467</c:v>
                </c:pt>
                <c:pt idx="13">
                  <c:v>79.370224997403199</c:v>
                </c:pt>
                <c:pt idx="14">
                  <c:v>77.903981895117894</c:v>
                </c:pt>
                <c:pt idx="15">
                  <c:v>79.606964964436202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2-4755-9E96-DC55ADA1CECB}"/>
            </c:ext>
          </c:extLst>
        </c:ser>
        <c:ser>
          <c:idx val="2"/>
          <c:order val="2"/>
          <c:tx>
            <c:strRef>
              <c:f>'Daten Sektor Gebäude'!$B$14</c:f>
              <c:strCache>
                <c:ptCount val="1"/>
                <c:pt idx="0">
                  <c:v>CRF 1.A.5 - Militär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Gebäude'!$D$14:$AR$14</c:f>
              <c:numCache>
                <c:formatCode>#,##0.0</c:formatCode>
                <c:ptCount val="21"/>
                <c:pt idx="0">
                  <c:v>1.3432633616901293</c:v>
                </c:pt>
                <c:pt idx="1">
                  <c:v>1.2422647591124414</c:v>
                </c:pt>
                <c:pt idx="2">
                  <c:v>1.0309375107352325</c:v>
                </c:pt>
                <c:pt idx="3">
                  <c:v>1.0703757694193712</c:v>
                </c:pt>
                <c:pt idx="4">
                  <c:v>1.0031497121103408</c:v>
                </c:pt>
                <c:pt idx="5">
                  <c:v>1.0011166743223623</c:v>
                </c:pt>
                <c:pt idx="6">
                  <c:v>1.0377093292909556</c:v>
                </c:pt>
                <c:pt idx="7">
                  <c:v>0.85641483253536632</c:v>
                </c:pt>
                <c:pt idx="8">
                  <c:v>0.76406154520536507</c:v>
                </c:pt>
                <c:pt idx="9">
                  <c:v>0.92178459450719852</c:v>
                </c:pt>
                <c:pt idx="10">
                  <c:v>0.79226058557570345</c:v>
                </c:pt>
                <c:pt idx="11">
                  <c:v>0.98618626229218742</c:v>
                </c:pt>
                <c:pt idx="12">
                  <c:v>0.8646031214956299</c:v>
                </c:pt>
                <c:pt idx="13">
                  <c:v>0.86216304423558476</c:v>
                </c:pt>
                <c:pt idx="14">
                  <c:v>0.60007918519828418</c:v>
                </c:pt>
                <c:pt idx="15">
                  <c:v>0.66829578842982462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2-4755-9E96-DC55ADA1CEC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3"/>
          <c:tx>
            <c:strRef>
              <c:f>'Daten Sektor Gebäude'!$B$15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10F-42C6-AA27-945AD90780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10F-42C6-AA27-945AD90780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10F-42C6-AA27-945AD90780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10F-42C6-AA27-945AD90780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10F-42C6-AA27-945AD90780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10F-42C6-AA27-945AD90780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10F-42C6-AA27-945AD90780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10F-42C6-AA27-945AD90780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10F-42C6-AA27-945AD90780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10F-42C6-AA27-945AD9078074}"/>
                </c:ext>
              </c:extLst>
            </c:dLbl>
            <c:dLbl>
              <c:idx val="10"/>
              <c:layout>
                <c:manualLayout>
                  <c:x val="-3.2822579641999729E-2"/>
                  <c:y val="0.2501493016020655"/>
                </c:manualLayout>
              </c:layout>
              <c:tx>
                <c:rich>
                  <a:bodyPr/>
                  <a:lstStyle/>
                  <a:p>
                    <a:fld id="{CC90FB4C-B5B7-489B-8DF6-35D24155DBA7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E88-48C7-86F1-3E9D0648E56A}"/>
                </c:ext>
              </c:extLst>
            </c:dLbl>
            <c:dLbl>
              <c:idx val="11"/>
              <c:layout>
                <c:manualLayout>
                  <c:x val="-3.0716207867381582E-2"/>
                  <c:y val="0.24471820859459778"/>
                </c:manualLayout>
              </c:layout>
              <c:tx>
                <c:rich>
                  <a:bodyPr/>
                  <a:lstStyle/>
                  <a:p>
                    <a:fld id="{24D0E0B6-F959-42E0-BB08-E463650B0290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89-4840-B070-6B6FA203843E}"/>
                </c:ext>
              </c:extLst>
            </c:dLbl>
            <c:dLbl>
              <c:idx val="12"/>
              <c:layout>
                <c:manualLayout>
                  <c:x val="-3.0716207867381429E-2"/>
                  <c:y val="0.22810590631364563"/>
                </c:manualLayout>
              </c:layout>
              <c:tx>
                <c:rich>
                  <a:bodyPr/>
                  <a:lstStyle/>
                  <a:p>
                    <a:fld id="{360CC8A1-7CCC-492E-B1AB-1E1964BA8A4C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E88-48C7-86F1-3E9D0648E56A}"/>
                </c:ext>
              </c:extLst>
            </c:dLbl>
            <c:dLbl>
              <c:idx val="13"/>
              <c:layout>
                <c:manualLayout>
                  <c:x val="-3.0716207867381506E-2"/>
                  <c:y val="0.19312282502365413"/>
                </c:manualLayout>
              </c:layout>
              <c:tx>
                <c:rich>
                  <a:bodyPr/>
                  <a:lstStyle/>
                  <a:p>
                    <a:fld id="{9C37E712-BD35-4BCB-94E5-EC8EDE0260BE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A10F-42C6-AA27-945AD9078074}"/>
                </c:ext>
              </c:extLst>
            </c:dLbl>
            <c:dLbl>
              <c:idx val="14"/>
              <c:layout>
                <c:manualLayout>
                  <c:x val="-3.0403569222093762E-2"/>
                  <c:y val="0.18496378380401024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de-DE" sz="8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3CA395-C38D-4BFD-9171-874E2A00668D}" type="VALUE">
                      <a:rPr lang="en-US"/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endParaRPr lang="de-DE"/>
                  </a:p>
                </c:rich>
              </c:tx>
              <c:numFmt formatCode="#,##0" sourceLinked="0"/>
              <c:spPr>
                <a:solidFill>
                  <a:schemeClr val="bg2"/>
                </a:solidFill>
                <a:ln w="190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de-DE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A10F-42C6-AA27-945AD9078074}"/>
                </c:ext>
              </c:extLst>
            </c:dLbl>
            <c:dLbl>
              <c:idx val="15"/>
              <c:layout>
                <c:manualLayout>
                  <c:x val="-3.0547366413321557E-2"/>
                  <c:y val="0.1999116912829888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de-DE" sz="8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CA8FA7-A9BF-4CC3-89CD-F948F9A4F2DF}" type="VALUE">
                      <a:rPr lang="en-US"/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endParaRPr lang="de-DE"/>
                  </a:p>
                </c:rich>
              </c:tx>
              <c:numFmt formatCode="#,##0" sourceLinked="0"/>
              <c:spPr>
                <a:solidFill>
                  <a:schemeClr val="bg2"/>
                </a:solidFill>
                <a:ln w="190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de-DE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A10F-42C6-AA27-945AD90780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A10F-42C6-AA27-945AD90780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A10F-42C6-AA27-945AD90780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A10F-42C6-AA27-945AD907807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A10F-42C6-AA27-945AD907807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A10F-42C6-AA27-945AD9078074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Gebäude'!$D$15:$AR$15</c:f>
              <c:numCache>
                <c:formatCode>#,##0.0</c:formatCode>
                <c:ptCount val="21"/>
                <c:pt idx="0">
                  <c:v>145.03437013705775</c:v>
                </c:pt>
                <c:pt idx="1">
                  <c:v>124.85841015963605</c:v>
                </c:pt>
                <c:pt idx="2">
                  <c:v>129.5906503449369</c:v>
                </c:pt>
                <c:pt idx="3">
                  <c:v>140.24088491850219</c:v>
                </c:pt>
                <c:pt idx="4">
                  <c:v>118.63645805072534</c:v>
                </c:pt>
                <c:pt idx="5">
                  <c:v>124.78356999675545</c:v>
                </c:pt>
                <c:pt idx="6">
                  <c:v>124.1617541317565</c:v>
                </c:pt>
                <c:pt idx="7">
                  <c:v>122.98235301164566</c:v>
                </c:pt>
                <c:pt idx="8">
                  <c:v>117.68587978898627</c:v>
                </c:pt>
                <c:pt idx="9">
                  <c:v>123.48208895026859</c:v>
                </c:pt>
                <c:pt idx="10">
                  <c:v>121.56194533243483</c:v>
                </c:pt>
                <c:pt idx="11">
                  <c:v>117.95820040067062</c:v>
                </c:pt>
                <c:pt idx="12">
                  <c:v>111.31260961258033</c:v>
                </c:pt>
                <c:pt idx="13">
                  <c:v>102.3588389695604</c:v>
                </c:pt>
                <c:pt idx="14">
                  <c:v>99.998028143157129</c:v>
                </c:pt>
                <c:pt idx="15">
                  <c:v>103.36586664073803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'Daten Sektor Gebäude'!$AM$15</c15:f>
                <c15:dlblRangeCache>
                  <c:ptCount val="1"/>
                  <c:pt idx="0">
                    <c:v>103,4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5D62-4755-9E96-DC55ADA1CECB}"/>
            </c:ext>
          </c:extLst>
        </c:ser>
        <c:ser>
          <c:idx val="8"/>
          <c:order val="4"/>
          <c:tx>
            <c:strRef>
              <c:f>'Daten Sektor Gebäude'!$B$17:$C$17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A10F-42C6-AA27-945AD90780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A10F-42C6-AA27-945AD90780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A10F-42C6-AA27-945AD90780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A10F-42C6-AA27-945AD90780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A10F-42C6-AA27-945AD90780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A10F-42C6-AA27-945AD907807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A10F-42C6-AA27-945AD90780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A10F-42C6-AA27-945AD907807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A10F-42C6-AA27-945AD907807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A10F-42C6-AA27-945AD9078074}"/>
                </c:ext>
              </c:extLst>
            </c:dLbl>
            <c:dLbl>
              <c:idx val="10"/>
              <c:layout>
                <c:manualLayout>
                  <c:x val="-3.0716207867381506E-2"/>
                  <c:y val="-0.11916502290574167"/>
                </c:manualLayout>
              </c:layout>
              <c:tx>
                <c:rich>
                  <a:bodyPr/>
                  <a:lstStyle/>
                  <a:p>
                    <a:fld id="{C5503DB5-C2AD-45DE-9C0C-7876E86C8928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E88-48C7-86F1-3E9D0648E56A}"/>
                </c:ext>
              </c:extLst>
            </c:dLbl>
            <c:dLbl>
              <c:idx val="11"/>
              <c:layout>
                <c:manualLayout>
                  <c:x val="-2.8609836092763286E-2"/>
                  <c:y val="-0.12459611591320942"/>
                </c:manualLayout>
              </c:layout>
              <c:tx>
                <c:rich>
                  <a:bodyPr/>
                  <a:lstStyle/>
                  <a:p>
                    <a:fld id="{150964FB-301E-436E-94B3-D7E23509DCFF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88-48C7-86F1-3E9D0648E56A}"/>
                </c:ext>
              </c:extLst>
            </c:dLbl>
            <c:dLbl>
              <c:idx val="12"/>
              <c:layout>
                <c:manualLayout>
                  <c:x val="-2.8609836092763286E-2"/>
                  <c:y val="-0.12731166241694331"/>
                </c:manualLayout>
              </c:layout>
              <c:tx>
                <c:rich>
                  <a:bodyPr/>
                  <a:lstStyle/>
                  <a:p>
                    <a:fld id="{F5C67A4A-6C08-4500-9FBC-FD831A12FBEC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F0-4758-BFBF-DD641F091FE2}"/>
                </c:ext>
              </c:extLst>
            </c:dLbl>
            <c:dLbl>
              <c:idx val="13"/>
              <c:layout>
                <c:manualLayout>
                  <c:x val="-2.948920484465508E-2"/>
                  <c:y val="-0.12763068567549218"/>
                </c:manualLayout>
              </c:layout>
              <c:tx>
                <c:rich>
                  <a:bodyPr/>
                  <a:lstStyle/>
                  <a:p>
                    <a:fld id="{71405D11-55EC-4DE5-B183-40664E4CF736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F0-4758-BFBF-DD641F091FE2}"/>
                </c:ext>
              </c:extLst>
            </c:dLbl>
            <c:dLbl>
              <c:idx val="14"/>
              <c:layout>
                <c:manualLayout>
                  <c:x val="-2.5276461295418641E-2"/>
                  <c:y val="-0.119484046164290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758-BFBF-DD641F091FE2}"/>
                </c:ext>
              </c:extLst>
            </c:dLbl>
            <c:dLbl>
              <c:idx val="15"/>
              <c:layout>
                <c:manualLayout>
                  <c:x val="-2.6445580558354376E-2"/>
                  <c:y val="-0.11101838339454004"/>
                </c:manualLayout>
              </c:layout>
              <c:tx>
                <c:rich>
                  <a:bodyPr/>
                  <a:lstStyle/>
                  <a:p>
                    <a:fld id="{ABB8D843-5740-411B-A758-84D1E3DE5A56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A10F-42C6-AA27-945AD9078074}"/>
                </c:ext>
              </c:extLst>
            </c:dLbl>
            <c:dLbl>
              <c:idx val="16"/>
              <c:layout>
                <c:manualLayout>
                  <c:x val="-2.5276461295418641E-2"/>
                  <c:y val="-0.11676849966055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0-4758-BFBF-DD641F091F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758-BFBF-DD641F091FE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0-4758-BFBF-DD641F091F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0-4758-BFBF-DD641F091FE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ABF418F-9059-4451-A8BE-207CE9A57A3F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A10F-42C6-AA27-945AD9078074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tx2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Gebäude'!$D$17:$AR$17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107.44154968536468</c:v>
                </c:pt>
                <c:pt idx="13" formatCode="#,##0.0">
                  <c:v>101.05379676576811</c:v>
                </c:pt>
                <c:pt idx="14" formatCode="#,##0.0">
                  <c:v>95.785339132491416</c:v>
                </c:pt>
                <c:pt idx="15" formatCode="#,##0.0">
                  <c:v>90.083224297380468</c:v>
                </c:pt>
                <c:pt idx="16" formatCode="#,##0.0">
                  <c:v>82.426695828708958</c:v>
                </c:pt>
                <c:pt idx="17" formatCode="#,##0.0">
                  <c:v>77.426695828708958</c:v>
                </c:pt>
                <c:pt idx="18" formatCode="#,##0.0">
                  <c:v>72.426695828708958</c:v>
                </c:pt>
                <c:pt idx="19" formatCode="#,##0.0">
                  <c:v>67.426695828708958</c:v>
                </c:pt>
                <c:pt idx="20" formatCode="#,##0.0">
                  <c:v>62.426695828708958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datalabelsRange>
                <c15:f>'Daten Sektor Gebäude'!$AK$17</c15:f>
                <c15:dlblRangeCache>
                  <c:ptCount val="1"/>
                  <c:pt idx="0">
                    <c:v>101,1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5D62-4755-9E96-DC55ADA1CECB}"/>
            </c:ext>
          </c:extLst>
        </c:ser>
        <c:ser>
          <c:idx val="3"/>
          <c:order val="5"/>
          <c:tx>
            <c:strRef>
              <c:f>'Daten Sektor Gebäude'!$B$16</c:f>
              <c:strCache>
                <c:ptCount val="1"/>
                <c:pt idx="0">
                  <c:v>davon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Gebäude'!$D$16:$AR$16</c:f>
              <c:numCache>
                <c:formatCode>#,##0</c:formatCode>
                <c:ptCount val="21"/>
                <c:pt idx="3" formatCode="#,##0.0">
                  <c:v>0.58524769300000001</c:v>
                </c:pt>
                <c:pt idx="4" formatCode="#,##0.0">
                  <c:v>0.51618188099999995</c:v>
                </c:pt>
                <c:pt idx="5" formatCode="#,##0.0">
                  <c:v>0.53094730499999998</c:v>
                </c:pt>
                <c:pt idx="6" formatCode="#,##0.0">
                  <c:v>0.54442831800000002</c:v>
                </c:pt>
                <c:pt idx="7" formatCode="#,##0.0">
                  <c:v>0.55857967399999997</c:v>
                </c:pt>
                <c:pt idx="8" formatCode="#,##0.0">
                  <c:v>0.52882127099999998</c:v>
                </c:pt>
                <c:pt idx="9" formatCode="#,##0.0">
                  <c:v>0.54612023899999995</c:v>
                </c:pt>
                <c:pt idx="10" formatCode="#,##0.0">
                  <c:v>0.51168907500000005</c:v>
                </c:pt>
                <c:pt idx="11" formatCode="#,##0.0">
                  <c:v>0.58025822330106402</c:v>
                </c:pt>
                <c:pt idx="12" formatCode="#,##0.0">
                  <c:v>0.54047989125975493</c:v>
                </c:pt>
                <c:pt idx="13" formatCode="#,##0.0">
                  <c:v>0.50667387624183102</c:v>
                </c:pt>
                <c:pt idx="14" formatCode="#,##0.0">
                  <c:v>0.50420506229711803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C0E-9DA6-8B4441A73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Gebäude'!$C$6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5730367827244329E-3"/>
          <c:y val="0.78423959110374364"/>
          <c:w val="0.99060856729401714"/>
          <c:h val="0.16792020142085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Verkehr'!$B$11</c:f>
              <c:strCache>
                <c:ptCount val="1"/>
                <c:pt idx="0">
                  <c:v>CRF 1.A.3.a - nationaler Luftverkehr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Verkehr'!$D$11:$AR$11</c:f>
              <c:numCache>
                <c:formatCode>#,##0.0</c:formatCode>
                <c:ptCount val="21"/>
                <c:pt idx="0">
                  <c:v>2.2704605550016885</c:v>
                </c:pt>
                <c:pt idx="1">
                  <c:v>2.2930226056708745</c:v>
                </c:pt>
                <c:pt idx="2">
                  <c:v>2.1796913233801782</c:v>
                </c:pt>
                <c:pt idx="3">
                  <c:v>1.969858830300443</c:v>
                </c:pt>
                <c:pt idx="4">
                  <c:v>1.9917016712387188</c:v>
                </c:pt>
                <c:pt idx="5">
                  <c:v>2.0781810205713374</c:v>
                </c:pt>
                <c:pt idx="6">
                  <c:v>2.0852528005973023</c:v>
                </c:pt>
                <c:pt idx="7">
                  <c:v>2.0222764722346493</c:v>
                </c:pt>
                <c:pt idx="8">
                  <c:v>2.0144854211746579</c:v>
                </c:pt>
                <c:pt idx="9">
                  <c:v>2.0758149970730675</c:v>
                </c:pt>
                <c:pt idx="10">
                  <c:v>0.93009604764647646</c:v>
                </c:pt>
                <c:pt idx="11">
                  <c:v>0.71797319564854811</c:v>
                </c:pt>
                <c:pt idx="12">
                  <c:v>1.0425291174112103</c:v>
                </c:pt>
                <c:pt idx="13">
                  <c:v>1.09381527945309</c:v>
                </c:pt>
                <c:pt idx="14">
                  <c:v>1.0985376850927084</c:v>
                </c:pt>
                <c:pt idx="15">
                  <c:v>1.1047714534200626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4-4846-90F6-8440E9191D26}"/>
            </c:ext>
          </c:extLst>
        </c:ser>
        <c:ser>
          <c:idx val="1"/>
          <c:order val="1"/>
          <c:tx>
            <c:strRef>
              <c:f>'Daten Sektor Verkehr'!$B$12</c:f>
              <c:strCache>
                <c:ptCount val="1"/>
                <c:pt idx="0">
                  <c:v>CRF 1.A.3.b - Straßenverkehr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Verkehr'!$D$12:$AR$12</c:f>
              <c:numCache>
                <c:formatCode>#,##0.0</c:formatCode>
                <c:ptCount val="21"/>
                <c:pt idx="0">
                  <c:v>146.57622316717951</c:v>
                </c:pt>
                <c:pt idx="1">
                  <c:v>148.3277234923882</c:v>
                </c:pt>
                <c:pt idx="2">
                  <c:v>147.00157382709727</c:v>
                </c:pt>
                <c:pt idx="3">
                  <c:v>151.14446116831536</c:v>
                </c:pt>
                <c:pt idx="4">
                  <c:v>152.80938861302022</c:v>
                </c:pt>
                <c:pt idx="5">
                  <c:v>156.11518272084891</c:v>
                </c:pt>
                <c:pt idx="6">
                  <c:v>158.95219975189741</c:v>
                </c:pt>
                <c:pt idx="7">
                  <c:v>162.58022182480062</c:v>
                </c:pt>
                <c:pt idx="8">
                  <c:v>158.03467131343041</c:v>
                </c:pt>
                <c:pt idx="9">
                  <c:v>158.85780726304276</c:v>
                </c:pt>
                <c:pt idx="10">
                  <c:v>142.41459286425416</c:v>
                </c:pt>
                <c:pt idx="11">
                  <c:v>143.6548802164375</c:v>
                </c:pt>
                <c:pt idx="12">
                  <c:v>144.89502126100399</c:v>
                </c:pt>
                <c:pt idx="13">
                  <c:v>141.24380674320236</c:v>
                </c:pt>
                <c:pt idx="14">
                  <c:v>140.90782404188246</c:v>
                </c:pt>
                <c:pt idx="15">
                  <c:v>143.04247221282455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4-4846-90F6-8440E9191D26}"/>
            </c:ext>
          </c:extLst>
        </c:ser>
        <c:ser>
          <c:idx val="2"/>
          <c:order val="2"/>
          <c:tx>
            <c:strRef>
              <c:f>'Daten Sektor Verkehr'!$B$13</c:f>
              <c:strCache>
                <c:ptCount val="1"/>
                <c:pt idx="0">
                  <c:v>CRF 1.A.3.c - Schienenverkehr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Verkehr'!$D$13:$AR$13</c:f>
              <c:numCache>
                <c:formatCode>#,##0.0</c:formatCode>
                <c:ptCount val="21"/>
                <c:pt idx="0">
                  <c:v>1.1208051130835088</c:v>
                </c:pt>
                <c:pt idx="1">
                  <c:v>1.1321180374985189</c:v>
                </c:pt>
                <c:pt idx="2">
                  <c:v>1.0422031375197303</c:v>
                </c:pt>
                <c:pt idx="3">
                  <c:v>1.0601188258916354</c:v>
                </c:pt>
                <c:pt idx="4">
                  <c:v>0.94842688143698961</c:v>
                </c:pt>
                <c:pt idx="5">
                  <c:v>1.024479147751151</c:v>
                </c:pt>
                <c:pt idx="6">
                  <c:v>1.0592658320002573</c:v>
                </c:pt>
                <c:pt idx="7">
                  <c:v>0.87878538992439481</c:v>
                </c:pt>
                <c:pt idx="8">
                  <c:v>0.73589169370911822</c:v>
                </c:pt>
                <c:pt idx="9">
                  <c:v>0.83413196599139261</c:v>
                </c:pt>
                <c:pt idx="10">
                  <c:v>0.83262014456158884</c:v>
                </c:pt>
                <c:pt idx="11">
                  <c:v>0.85550885362341123</c:v>
                </c:pt>
                <c:pt idx="12">
                  <c:v>0.81169380586988815</c:v>
                </c:pt>
                <c:pt idx="13">
                  <c:v>0.7785316087317683</c:v>
                </c:pt>
                <c:pt idx="14">
                  <c:v>0.74489312385874451</c:v>
                </c:pt>
                <c:pt idx="15">
                  <c:v>0.74178235890750688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4-4846-90F6-8440E9191D26}"/>
            </c:ext>
          </c:extLst>
        </c:ser>
        <c:ser>
          <c:idx val="3"/>
          <c:order val="3"/>
          <c:tx>
            <c:strRef>
              <c:f>'Daten Sektor Verkehr'!$B$14</c:f>
              <c:strCache>
                <c:ptCount val="1"/>
                <c:pt idx="0">
                  <c:v>CRF 1.A.3.d - Küsten- &amp; Binnenschifffahrt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  <c:extLst xmlns:c15="http://schemas.microsoft.com/office/drawing/2012/chart"/>
            </c:numRef>
          </c:cat>
          <c:val>
            <c:numRef>
              <c:f>'Daten Sektor Verkehr'!$D$14:$AR$14</c:f>
              <c:numCache>
                <c:formatCode>#,##0.0</c:formatCode>
                <c:ptCount val="21"/>
                <c:pt idx="0">
                  <c:v>1.9431570470036794</c:v>
                </c:pt>
                <c:pt idx="1">
                  <c:v>1.8080868381566939</c:v>
                </c:pt>
                <c:pt idx="2">
                  <c:v>1.8627197816694141</c:v>
                </c:pt>
                <c:pt idx="3">
                  <c:v>1.8586774121890217</c:v>
                </c:pt>
                <c:pt idx="4">
                  <c:v>1.8880558226168276</c:v>
                </c:pt>
                <c:pt idx="5">
                  <c:v>1.8725999195328664</c:v>
                </c:pt>
                <c:pt idx="6">
                  <c:v>1.7956745148254885</c:v>
                </c:pt>
                <c:pt idx="7">
                  <c:v>1.7980904323370464</c:v>
                </c:pt>
                <c:pt idx="8">
                  <c:v>1.8522956797163272</c:v>
                </c:pt>
                <c:pt idx="9">
                  <c:v>1.8547679778981709</c:v>
                </c:pt>
                <c:pt idx="10">
                  <c:v>1.7178413868597975</c:v>
                </c:pt>
                <c:pt idx="11">
                  <c:v>1.5839259199941147</c:v>
                </c:pt>
                <c:pt idx="12">
                  <c:v>1.3210433279565363</c:v>
                </c:pt>
                <c:pt idx="13">
                  <c:v>1.3625740419519889</c:v>
                </c:pt>
                <c:pt idx="14">
                  <c:v>1.4310723957453957</c:v>
                </c:pt>
                <c:pt idx="15">
                  <c:v>1.4161297866122111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  <c:extLst/>
      </c:barChart>
      <c:lineChart>
        <c:grouping val="standard"/>
        <c:varyColors val="0"/>
        <c:ser>
          <c:idx val="6"/>
          <c:order val="4"/>
          <c:tx>
            <c:strRef>
              <c:f>'Daten Sektor Verkehr'!$B$15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1-40E1-9AB4-E95A354EA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1-40E1-9AB4-E95A354EA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1-40E1-9AB4-E95A354EA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1-40E1-9AB4-E95A354EA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1-40E1-9AB4-E95A354EAA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C1-40E1-9AB4-E95A354EAA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C1-40E1-9AB4-E95A354EAA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1-40E1-9AB4-E95A354EAA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C1-40E1-9AB4-E95A354EAA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1-40E1-9AB4-E95A354EAA58}"/>
                </c:ext>
              </c:extLst>
            </c:dLbl>
            <c:dLbl>
              <c:idx val="10"/>
              <c:layout>
                <c:manualLayout>
                  <c:x val="-3.2822579641999729E-2"/>
                  <c:y val="0.20670055754232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1-4F40-800F-60F65C181DF3}"/>
                </c:ext>
              </c:extLst>
            </c:dLbl>
            <c:dLbl>
              <c:idx val="11"/>
              <c:layout>
                <c:manualLayout>
                  <c:x val="-3.0716207867381582E-2"/>
                  <c:y val="0.209416104046057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F-4C93-AC62-E457E2E060AF}"/>
                </c:ext>
              </c:extLst>
            </c:dLbl>
            <c:dLbl>
              <c:idx val="12"/>
              <c:layout>
                <c:manualLayout>
                  <c:x val="-3.0716207867381429E-2"/>
                  <c:y val="0.209416104046057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6-4FA0-ADCE-40D3BA227359}"/>
                </c:ext>
              </c:extLst>
            </c:dLbl>
            <c:dLbl>
              <c:idx val="13"/>
              <c:layout>
                <c:manualLayout>
                  <c:x val="-3.0716207867381506E-2"/>
                  <c:y val="0.203985011038589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C1-40E1-9AB4-E95A354EAA58}"/>
                </c:ext>
              </c:extLst>
            </c:dLbl>
            <c:dLbl>
              <c:idx val="14"/>
              <c:layout>
                <c:manualLayout>
                  <c:x val="-3.0716207867381506E-2"/>
                  <c:y val="0.198553918031121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6-47E0-9A8B-FA250F2D22B1}"/>
                </c:ext>
              </c:extLst>
            </c:dLbl>
            <c:dLbl>
              <c:idx val="15"/>
              <c:layout>
                <c:manualLayout>
                  <c:x val="-3.0716207867381662E-2"/>
                  <c:y val="0.19855391803112188"/>
                </c:manualLayout>
              </c:layout>
              <c:numFmt formatCode="#,##0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19050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de-DE" sz="800" b="1" i="0" u="none" strike="noStrike" kern="120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3-4FCB-8B9A-7D14953B9598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Verkehr'!$D$15:$AR$15</c:f>
              <c:numCache>
                <c:formatCode>#,##0.0</c:formatCode>
                <c:ptCount val="21"/>
                <c:pt idx="0">
                  <c:v>151.91064588226837</c:v>
                </c:pt>
                <c:pt idx="1">
                  <c:v>153.56095097371428</c:v>
                </c:pt>
                <c:pt idx="2">
                  <c:v>152.08618806966663</c:v>
                </c:pt>
                <c:pt idx="3">
                  <c:v>156.03311623669646</c:v>
                </c:pt>
                <c:pt idx="4">
                  <c:v>157.63757298831274</c:v>
                </c:pt>
                <c:pt idx="5">
                  <c:v>161.09044280870424</c:v>
                </c:pt>
                <c:pt idx="6">
                  <c:v>163.8923928993205</c:v>
                </c:pt>
                <c:pt idx="7">
                  <c:v>167.27937411929673</c:v>
                </c:pt>
                <c:pt idx="8">
                  <c:v>162.63734410803056</c:v>
                </c:pt>
                <c:pt idx="9">
                  <c:v>163.62252220400541</c:v>
                </c:pt>
                <c:pt idx="10">
                  <c:v>145.89515044332205</c:v>
                </c:pt>
                <c:pt idx="11">
                  <c:v>146.81228818570358</c:v>
                </c:pt>
                <c:pt idx="12">
                  <c:v>148.07028751224166</c:v>
                </c:pt>
                <c:pt idx="13">
                  <c:v>144.47872767333922</c:v>
                </c:pt>
                <c:pt idx="14">
                  <c:v>144.18232724657935</c:v>
                </c:pt>
                <c:pt idx="15">
                  <c:v>146.30515581176434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4-4846-90F6-8440E9191D26}"/>
            </c:ext>
          </c:extLst>
        </c:ser>
        <c:ser>
          <c:idx val="9"/>
          <c:order val="5"/>
          <c:tx>
            <c:strRef>
              <c:f>'Daten Sektor Verkehr'!$B$17:$C$17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E-4E55-98EE-ABAC786322F0}"/>
                </c:ext>
              </c:extLst>
            </c:dLbl>
            <c:dLbl>
              <c:idx val="11"/>
              <c:layout>
                <c:manualLayout>
                  <c:x val="-3.2822579641999805E-2"/>
                  <c:y val="-8.386291835720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6-4FA0-ADCE-40D3BA227359}"/>
                </c:ext>
              </c:extLst>
            </c:dLbl>
            <c:dLbl>
              <c:idx val="12"/>
              <c:layout>
                <c:manualLayout>
                  <c:x val="-3.0716207867381429E-2"/>
                  <c:y val="-9.4725104372136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3-4D39-A29E-08F9403239FB}"/>
                </c:ext>
              </c:extLst>
            </c:dLbl>
            <c:dLbl>
              <c:idx val="13"/>
              <c:layout>
                <c:manualLayout>
                  <c:x val="-3.15955766192733E-2"/>
                  <c:y val="-8.9613034623217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D39-A29E-08F9403239FB}"/>
                </c:ext>
              </c:extLst>
            </c:dLbl>
            <c:dLbl>
              <c:idx val="14"/>
              <c:layout>
                <c:manualLayout>
                  <c:x val="-2.948920484465516E-2"/>
                  <c:y val="-0.11405295315682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D39-A29E-08F9403239FB}"/>
                </c:ext>
              </c:extLst>
            </c:dLbl>
            <c:dLbl>
              <c:idx val="15"/>
              <c:layout>
                <c:manualLayout>
                  <c:x val="-3.0716207867381662E-2"/>
                  <c:y val="-0.135458301928144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83-4FCB-8B9A-7D14953B9598}"/>
                </c:ext>
              </c:extLst>
            </c:dLbl>
            <c:dLbl>
              <c:idx val="16"/>
              <c:layout>
                <c:manualLayout>
                  <c:x val="-2.948920484465508E-2"/>
                  <c:y val="-7.603530210454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D39-A29E-08F9403239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3-4D39-A29E-08F9403239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83-4D39-A29E-08F9403239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3-4D39-A29E-08F9403239FB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2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Verkehr'!$D$17:$AR$17</c:f>
              <c:numCache>
                <c:formatCode>#,##0.0</c:formatCode>
                <c:ptCount val="21"/>
                <c:pt idx="10" formatCode="#,##0">
                  <c:v>150</c:v>
                </c:pt>
                <c:pt idx="11" formatCode="#,##0">
                  <c:v>145</c:v>
                </c:pt>
                <c:pt idx="12" formatCode="#,##0">
                  <c:v>138.80153267406732</c:v>
                </c:pt>
                <c:pt idx="13" formatCode="#,##0">
                  <c:v>132.74131421065542</c:v>
                </c:pt>
                <c:pt idx="14" formatCode="#,##0">
                  <c:v>124.97133643667375</c:v>
                </c:pt>
                <c:pt idx="15" formatCode="#,##0">
                  <c:v>116.76950463502281</c:v>
                </c:pt>
                <c:pt idx="16" formatCode="#,##0">
                  <c:v>104.86237439967451</c:v>
                </c:pt>
                <c:pt idx="17" formatCode="#,##0">
                  <c:v>99.862374399674508</c:v>
                </c:pt>
                <c:pt idx="18" formatCode="#,##0">
                  <c:v>92.862374399674508</c:v>
                </c:pt>
                <c:pt idx="19" formatCode="#,##0">
                  <c:v>83.862374399674508</c:v>
                </c:pt>
                <c:pt idx="20" formatCode="#,##0">
                  <c:v>72.862374399674508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Verkehr'!$C$5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78423959110374364"/>
          <c:w val="0.99493027826497993"/>
          <c:h val="0.10670194738895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'Daten Sektor Landwirtschaft'!$B$11</c:f>
              <c:strCache>
                <c:ptCount val="1"/>
                <c:pt idx="0">
                  <c:v>CRF 1.A.4.c - Stationäre &amp; mobile Feuerung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Landwirtschaft'!$D$11:$AR$11</c:f>
              <c:numCache>
                <c:formatCode>#,##0.0</c:formatCode>
                <c:ptCount val="21"/>
                <c:pt idx="0">
                  <c:v>7.6460212265012117</c:v>
                </c:pt>
                <c:pt idx="1">
                  <c:v>8.2836808373957158</c:v>
                </c:pt>
                <c:pt idx="2">
                  <c:v>7.9286421122170321</c:v>
                </c:pt>
                <c:pt idx="3">
                  <c:v>7.8166277942825255</c:v>
                </c:pt>
                <c:pt idx="4">
                  <c:v>8.5104647449671127</c:v>
                </c:pt>
                <c:pt idx="5">
                  <c:v>8.1046574716373829</c:v>
                </c:pt>
                <c:pt idx="6">
                  <c:v>8.237548810747688</c:v>
                </c:pt>
                <c:pt idx="7">
                  <c:v>7.6428398830428046</c:v>
                </c:pt>
                <c:pt idx="8">
                  <c:v>7.5205007203119472</c:v>
                </c:pt>
                <c:pt idx="9">
                  <c:v>7.4721738999568652</c:v>
                </c:pt>
                <c:pt idx="10">
                  <c:v>7.7733537260193337</c:v>
                </c:pt>
                <c:pt idx="11">
                  <c:v>7.8784646239784175</c:v>
                </c:pt>
                <c:pt idx="12">
                  <c:v>7.599857075445235</c:v>
                </c:pt>
                <c:pt idx="13">
                  <c:v>7.5398268767853311</c:v>
                </c:pt>
                <c:pt idx="14">
                  <c:v>7.5382518992308061</c:v>
                </c:pt>
                <c:pt idx="15">
                  <c:v>7.5326000904258716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90-459C-8B91-C2E67B35A783}"/>
            </c:ext>
          </c:extLst>
        </c:ser>
        <c:ser>
          <c:idx val="0"/>
          <c:order val="1"/>
          <c:tx>
            <c:strRef>
              <c:f>'Daten Sektor Landwirtschaft'!$B$12</c:f>
              <c:strCache>
                <c:ptCount val="1"/>
                <c:pt idx="0">
                  <c:v>CRF 3.A - Landwirtschaft - Fermentation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Landwirtschaft'!$D$12:$AR$12</c:f>
              <c:numCache>
                <c:formatCode>#,##0.0</c:formatCode>
                <c:ptCount val="21"/>
                <c:pt idx="0">
                  <c:v>28.765126016082398</c:v>
                </c:pt>
                <c:pt idx="1">
                  <c:v>28.390152139165373</c:v>
                </c:pt>
                <c:pt idx="2">
                  <c:v>28.397042956882487</c:v>
                </c:pt>
                <c:pt idx="3">
                  <c:v>28.745592399611112</c:v>
                </c:pt>
                <c:pt idx="4">
                  <c:v>28.986641203496752</c:v>
                </c:pt>
                <c:pt idx="5">
                  <c:v>28.92093643026131</c:v>
                </c:pt>
                <c:pt idx="6">
                  <c:v>28.634824083997529</c:v>
                </c:pt>
                <c:pt idx="7">
                  <c:v>28.41403225172645</c:v>
                </c:pt>
                <c:pt idx="8">
                  <c:v>27.989804268351346</c:v>
                </c:pt>
                <c:pt idx="9">
                  <c:v>27.676508983736436</c:v>
                </c:pt>
                <c:pt idx="10">
                  <c:v>27.260502253098135</c:v>
                </c:pt>
                <c:pt idx="11">
                  <c:v>26.742033366827759</c:v>
                </c:pt>
                <c:pt idx="12">
                  <c:v>26.473023260342167</c:v>
                </c:pt>
                <c:pt idx="13">
                  <c:v>26.428064953704634</c:v>
                </c:pt>
                <c:pt idx="14">
                  <c:v>25.847951169644229</c:v>
                </c:pt>
                <c:pt idx="15">
                  <c:v>25.86808401016912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0-459C-8B91-C2E67B35A783}"/>
            </c:ext>
          </c:extLst>
        </c:ser>
        <c:ser>
          <c:idx val="1"/>
          <c:order val="2"/>
          <c:tx>
            <c:strRef>
              <c:f>'Daten Sektor Landwirtschaft'!$B$13</c:f>
              <c:strCache>
                <c:ptCount val="1"/>
                <c:pt idx="0">
                  <c:v>CRF 3.B - Landwirtschaft - Düngerwirtschaft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Landwirtschaft'!$D$13:$AR$13</c:f>
              <c:numCache>
                <c:formatCode>#,##0.0</c:formatCode>
                <c:ptCount val="21"/>
                <c:pt idx="0">
                  <c:v>10.331344302185721</c:v>
                </c:pt>
                <c:pt idx="1">
                  <c:v>10.057554418421605</c:v>
                </c:pt>
                <c:pt idx="2">
                  <c:v>10.133157470454583</c:v>
                </c:pt>
                <c:pt idx="3">
                  <c:v>10.240242646944839</c:v>
                </c:pt>
                <c:pt idx="4">
                  <c:v>10.288804418560565</c:v>
                </c:pt>
                <c:pt idx="5">
                  <c:v>10.08572341903394</c:v>
                </c:pt>
                <c:pt idx="6">
                  <c:v>10.13315197617603</c:v>
                </c:pt>
                <c:pt idx="7">
                  <c:v>10.304107052083134</c:v>
                </c:pt>
                <c:pt idx="8">
                  <c:v>9.6337488348774905</c:v>
                </c:pt>
                <c:pt idx="9">
                  <c:v>9.8426894257163848</c:v>
                </c:pt>
                <c:pt idx="10">
                  <c:v>9.6263938629428836</c:v>
                </c:pt>
                <c:pt idx="11">
                  <c:v>9.424054927606905</c:v>
                </c:pt>
                <c:pt idx="12">
                  <c:v>8.6370372710542611</c:v>
                </c:pt>
                <c:pt idx="13">
                  <c:v>9.1544818417823155</c:v>
                </c:pt>
                <c:pt idx="14">
                  <c:v>9.0673243154768741</c:v>
                </c:pt>
                <c:pt idx="15">
                  <c:v>8.6983705988347069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0-459C-8B91-C2E67B35A783}"/>
            </c:ext>
          </c:extLst>
        </c:ser>
        <c:ser>
          <c:idx val="2"/>
          <c:order val="3"/>
          <c:tx>
            <c:strRef>
              <c:f>'Daten Sektor Landwirtschaft'!$B$14</c:f>
              <c:strCache>
                <c:ptCount val="1"/>
                <c:pt idx="0">
                  <c:v>CRF 3.D - Landwirtschaft - Landwirtschaftliche Böden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Landwirtschaft'!$D$14:$AR$14</c:f>
              <c:numCache>
                <c:formatCode>#,##0.0</c:formatCode>
                <c:ptCount val="21"/>
                <c:pt idx="0">
                  <c:v>17.391615763774546</c:v>
                </c:pt>
                <c:pt idx="1">
                  <c:v>17.591136643790374</c:v>
                </c:pt>
                <c:pt idx="2">
                  <c:v>17.51598653198225</c:v>
                </c:pt>
                <c:pt idx="3">
                  <c:v>18.154536276528994</c:v>
                </c:pt>
                <c:pt idx="4">
                  <c:v>18.399151522699132</c:v>
                </c:pt>
                <c:pt idx="5">
                  <c:v>17.903118975333175</c:v>
                </c:pt>
                <c:pt idx="6">
                  <c:v>18.440366644996043</c:v>
                </c:pt>
                <c:pt idx="7">
                  <c:v>18.405166249605806</c:v>
                </c:pt>
                <c:pt idx="8">
                  <c:v>16.604219246776928</c:v>
                </c:pt>
                <c:pt idx="9">
                  <c:v>16.782605406001615</c:v>
                </c:pt>
                <c:pt idx="10">
                  <c:v>16.095648148969453</c:v>
                </c:pt>
                <c:pt idx="11">
                  <c:v>16.121790854353677</c:v>
                </c:pt>
                <c:pt idx="12">
                  <c:v>15.058409599081797</c:v>
                </c:pt>
                <c:pt idx="13">
                  <c:v>15.648393092963461</c:v>
                </c:pt>
                <c:pt idx="14">
                  <c:v>14.473136706952221</c:v>
                </c:pt>
                <c:pt idx="15">
                  <c:v>14.570372419433186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0-459C-8B91-C2E67B35A783}"/>
            </c:ext>
          </c:extLst>
        </c:ser>
        <c:ser>
          <c:idx val="3"/>
          <c:order val="4"/>
          <c:tx>
            <c:strRef>
              <c:f>'Daten Sektor Landwirtschaft'!$B$15</c:f>
              <c:strCache>
                <c:ptCount val="1"/>
                <c:pt idx="0">
                  <c:v>CRF 3.G - Landwirtschaft - Kalkung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Landwirtschaft'!$D$15:$AR$15</c:f>
              <c:numCache>
                <c:formatCode>#,##0.0</c:formatCode>
                <c:ptCount val="21"/>
                <c:pt idx="0">
                  <c:v>1.5490008412794591</c:v>
                </c:pt>
                <c:pt idx="1">
                  <c:v>1.5932639130940478</c:v>
                </c:pt>
                <c:pt idx="2">
                  <c:v>1.6920846129581979</c:v>
                </c:pt>
                <c:pt idx="3">
                  <c:v>1.8245301506517635</c:v>
                </c:pt>
                <c:pt idx="4">
                  <c:v>1.9172560062283042</c:v>
                </c:pt>
                <c:pt idx="5">
                  <c:v>1.9057889653428215</c:v>
                </c:pt>
                <c:pt idx="6">
                  <c:v>1.8817710978389952</c:v>
                </c:pt>
                <c:pt idx="7">
                  <c:v>1.9376313819510826</c:v>
                </c:pt>
                <c:pt idx="8">
                  <c:v>2.0474384710724456</c:v>
                </c:pt>
                <c:pt idx="9">
                  <c:v>2.0388381471044408</c:v>
                </c:pt>
                <c:pt idx="10">
                  <c:v>2.0097765735279882</c:v>
                </c:pt>
                <c:pt idx="11">
                  <c:v>1.9826148498016076</c:v>
                </c:pt>
                <c:pt idx="12">
                  <c:v>1.9946207401739058</c:v>
                </c:pt>
                <c:pt idx="13">
                  <c:v>1.9386849032029789</c:v>
                </c:pt>
                <c:pt idx="14">
                  <c:v>1.9065042304271078</c:v>
                </c:pt>
                <c:pt idx="15">
                  <c:v>2.155496616952381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90-459C-8B91-C2E67B35A783}"/>
            </c:ext>
          </c:extLst>
        </c:ser>
        <c:ser>
          <c:idx val="4"/>
          <c:order val="5"/>
          <c:tx>
            <c:strRef>
              <c:f>'Daten Sektor Landwirtschaft'!$B$16</c:f>
              <c:strCache>
                <c:ptCount val="1"/>
                <c:pt idx="0">
                  <c:v>CRF 3.H - Landwirtschaft - Harnstoffanwendung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Landwirtschaft'!$D$16:$AR$16</c:f>
              <c:numCache>
                <c:formatCode>#,##0.0</c:formatCode>
                <c:ptCount val="21"/>
                <c:pt idx="0">
                  <c:v>0.71075347585693016</c:v>
                </c:pt>
                <c:pt idx="1">
                  <c:v>0.65402883303604753</c:v>
                </c:pt>
                <c:pt idx="2">
                  <c:v>0.6899058568397396</c:v>
                </c:pt>
                <c:pt idx="3">
                  <c:v>0.67255047587429517</c:v>
                </c:pt>
                <c:pt idx="4">
                  <c:v>0.74970499965922499</c:v>
                </c:pt>
                <c:pt idx="5">
                  <c:v>0.79149504757356282</c:v>
                </c:pt>
                <c:pt idx="6">
                  <c:v>0.81514216629614755</c:v>
                </c:pt>
                <c:pt idx="7">
                  <c:v>0.71956657113292433</c:v>
                </c:pt>
                <c:pt idx="8">
                  <c:v>0.6052506425715527</c:v>
                </c:pt>
                <c:pt idx="9">
                  <c:v>0.49774816644041742</c:v>
                </c:pt>
                <c:pt idx="10">
                  <c:v>0.43326538077639454</c:v>
                </c:pt>
                <c:pt idx="11">
                  <c:v>0.39729616648607746</c:v>
                </c:pt>
                <c:pt idx="12">
                  <c:v>0.3669992855265154</c:v>
                </c:pt>
                <c:pt idx="13">
                  <c:v>0.34751016650870753</c:v>
                </c:pt>
                <c:pt idx="14">
                  <c:v>0.33020166651657501</c:v>
                </c:pt>
                <c:pt idx="15">
                  <c:v>0.3294499999999998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90-459C-8B91-C2E67B35A783}"/>
            </c:ext>
          </c:extLst>
        </c:ser>
        <c:ser>
          <c:idx val="5"/>
          <c:order val="6"/>
          <c:tx>
            <c:strRef>
              <c:f>'Daten Sektor Landwirtschaft'!$B$17</c:f>
              <c:strCache>
                <c:ptCount val="1"/>
                <c:pt idx="0">
                  <c:v>CRF 3.I - Landwirtschaft - Andere kohlenstoffhaltige Düngemittel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Landwirtschaft'!$D$17:$AR$17</c:f>
              <c:numCache>
                <c:formatCode>#,##0.0</c:formatCode>
                <c:ptCount val="21"/>
                <c:pt idx="0">
                  <c:v>0.25723667252799998</c:v>
                </c:pt>
                <c:pt idx="1">
                  <c:v>0.26410290675999998</c:v>
                </c:pt>
                <c:pt idx="2">
                  <c:v>0.253914204852</c:v>
                </c:pt>
                <c:pt idx="3">
                  <c:v>0.24028784538</c:v>
                </c:pt>
                <c:pt idx="4">
                  <c:v>0.23622273914799999</c:v>
                </c:pt>
                <c:pt idx="5">
                  <c:v>0.23067260471200002</c:v>
                </c:pt>
                <c:pt idx="6">
                  <c:v>0.225715710264</c:v>
                </c:pt>
                <c:pt idx="7">
                  <c:v>0.21303624601600002</c:v>
                </c:pt>
                <c:pt idx="8">
                  <c:v>0.20270871922399999</c:v>
                </c:pt>
                <c:pt idx="9">
                  <c:v>0.19421726350399998</c:v>
                </c:pt>
                <c:pt idx="10">
                  <c:v>0.18545922916399998</c:v>
                </c:pt>
                <c:pt idx="11">
                  <c:v>0.17554705748800001</c:v>
                </c:pt>
                <c:pt idx="12">
                  <c:v>0.157481660248</c:v>
                </c:pt>
                <c:pt idx="13">
                  <c:v>0.147807829488</c:v>
                </c:pt>
                <c:pt idx="14">
                  <c:v>0.14475106962800002</c:v>
                </c:pt>
                <c:pt idx="15">
                  <c:v>0.15237661130864172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90-459C-8B91-C2E67B35A783}"/>
            </c:ext>
          </c:extLst>
        </c:ser>
        <c:ser>
          <c:idx val="7"/>
          <c:order val="7"/>
          <c:tx>
            <c:strRef>
              <c:f>'Daten Sektor Landwirtschaft'!$B$18</c:f>
              <c:strCache>
                <c:ptCount val="1"/>
                <c:pt idx="0">
                  <c:v>CRF 3.J - Andere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Landwirtschaft'!$D$18:$AR$18</c:f>
              <c:numCache>
                <c:formatCode>#,##0.0</c:formatCode>
                <c:ptCount val="21"/>
                <c:pt idx="0">
                  <c:v>1.144469013510051</c:v>
                </c:pt>
                <c:pt idx="1">
                  <c:v>1.3802507570690667</c:v>
                </c:pt>
                <c:pt idx="2">
                  <c:v>1.4023170774986211</c:v>
                </c:pt>
                <c:pt idx="3">
                  <c:v>1.6788338129316474</c:v>
                </c:pt>
                <c:pt idx="4">
                  <c:v>1.7323826970448135</c:v>
                </c:pt>
                <c:pt idx="5">
                  <c:v>1.7746797757224477</c:v>
                </c:pt>
                <c:pt idx="6">
                  <c:v>1.7430272128088353</c:v>
                </c:pt>
                <c:pt idx="7">
                  <c:v>1.69557262117662</c:v>
                </c:pt>
                <c:pt idx="8">
                  <c:v>1.6423028174269103</c:v>
                </c:pt>
                <c:pt idx="9">
                  <c:v>1.601116643697019</c:v>
                </c:pt>
                <c:pt idx="10">
                  <c:v>1.5902902179277376</c:v>
                </c:pt>
                <c:pt idx="11">
                  <c:v>1.5165348491135562</c:v>
                </c:pt>
                <c:pt idx="12">
                  <c:v>1.632747692929726</c:v>
                </c:pt>
                <c:pt idx="13">
                  <c:v>1.5379656717262464</c:v>
                </c:pt>
                <c:pt idx="14">
                  <c:v>1.5380154068532992</c:v>
                </c:pt>
                <c:pt idx="15">
                  <c:v>1.5357308604878708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8"/>
          <c:tx>
            <c:strRef>
              <c:f>'Daten Sektor Landwirtschaft'!$B$19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2-49F4-BF31-4448E4E924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2-49F4-BF31-4448E4E924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2-49F4-BF31-4448E4E924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2-49F4-BF31-4448E4E924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2-49F4-BF31-4448E4E924B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2-49F4-BF31-4448E4E924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2-49F4-BF31-4448E4E924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2-49F4-BF31-4448E4E924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2-49F4-BF31-4448E4E924B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2-49F4-BF31-4448E4E924BC}"/>
                </c:ext>
              </c:extLst>
            </c:dLbl>
            <c:dLbl>
              <c:idx val="10"/>
              <c:layout>
                <c:manualLayout>
                  <c:x val="-2.8551952332972596E-2"/>
                  <c:y val="8.7216511378032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5F-462E-9609-DC52CBADDEEB}"/>
                </c:ext>
              </c:extLst>
            </c:dLbl>
            <c:dLbl>
              <c:idx val="11"/>
              <c:layout>
                <c:manualLayout>
                  <c:x val="-2.6445580558354529E-2"/>
                  <c:y val="8.9932057881766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A-4F53-B627-EA27E706D6C5}"/>
                </c:ext>
              </c:extLst>
            </c:dLbl>
            <c:dLbl>
              <c:idx val="12"/>
              <c:layout>
                <c:manualLayout>
                  <c:x val="-2.6445580558354376E-2"/>
                  <c:y val="7.9069871866831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A-4A11-89B3-4F406E2861C0}"/>
                </c:ext>
              </c:extLst>
            </c:dLbl>
            <c:dLbl>
              <c:idx val="13"/>
              <c:layout>
                <c:manualLayout>
                  <c:x val="-2.6445580558354453E-2"/>
                  <c:y val="8.1785418370565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3-44CB-94AF-C200F2F5FB51}"/>
                </c:ext>
              </c:extLst>
            </c:dLbl>
            <c:dLbl>
              <c:idx val="14"/>
              <c:layout>
                <c:manualLayout>
                  <c:x val="-2.6445580558354376E-2"/>
                  <c:y val="6.5492139348161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3-44CB-94AF-C200F2F5FB51}"/>
                </c:ext>
              </c:extLst>
            </c:dLbl>
            <c:dLbl>
              <c:idx val="15"/>
              <c:layout>
                <c:manualLayout>
                  <c:x val="-2.6445580558354376E-2"/>
                  <c:y val="6.5492139348161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3-44CB-94AF-C200F2F5FB51}"/>
                </c:ext>
              </c:extLst>
            </c:dLbl>
            <c:numFmt formatCode="#,##0" sourceLinked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Landwirtschaft'!$D$19:$AR$19</c:f>
              <c:numCache>
                <c:formatCode>#,##0.0</c:formatCode>
                <c:ptCount val="21"/>
                <c:pt idx="0">
                  <c:v>67.795567311718315</c:v>
                </c:pt>
                <c:pt idx="1">
                  <c:v>68.214170448732247</c:v>
                </c:pt>
                <c:pt idx="2">
                  <c:v>68.013050823684907</c:v>
                </c:pt>
                <c:pt idx="3">
                  <c:v>69.373201402205154</c:v>
                </c:pt>
                <c:pt idx="4">
                  <c:v>70.820628331803888</c:v>
                </c:pt>
                <c:pt idx="5">
                  <c:v>69.717072689616643</c:v>
                </c:pt>
                <c:pt idx="6">
                  <c:v>70.111547703125282</c:v>
                </c:pt>
                <c:pt idx="7">
                  <c:v>69.331952256734809</c:v>
                </c:pt>
                <c:pt idx="8">
                  <c:v>66.245973720612625</c:v>
                </c:pt>
                <c:pt idx="9">
                  <c:v>66.105897936157163</c:v>
                </c:pt>
                <c:pt idx="10">
                  <c:v>64.97468939242593</c:v>
                </c:pt>
                <c:pt idx="11">
                  <c:v>64.238336695656002</c:v>
                </c:pt>
                <c:pt idx="12">
                  <c:v>61.920176584801617</c:v>
                </c:pt>
                <c:pt idx="13">
                  <c:v>62.74273533616168</c:v>
                </c:pt>
                <c:pt idx="14">
                  <c:v>60.846136464729106</c:v>
                </c:pt>
                <c:pt idx="15">
                  <c:v>60.842481207611776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0-459C-8B91-C2E67B35A783}"/>
            </c:ext>
          </c:extLst>
        </c:ser>
        <c:ser>
          <c:idx val="9"/>
          <c:order val="9"/>
          <c:tx>
            <c:strRef>
              <c:f>'Daten Sektor Landwirtschaft'!$B$21:$C$21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dLbl>
              <c:idx val="11"/>
              <c:layout>
                <c:manualLayout>
                  <c:x val="-2.6445580558354529E-2"/>
                  <c:y val="-4.5845267304927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93-44CB-94AF-C200F2F5FB51}"/>
                </c:ext>
              </c:extLst>
            </c:dLbl>
            <c:dLbl>
              <c:idx val="12"/>
              <c:layout>
                <c:manualLayout>
                  <c:x val="-2.6445580558354376E-2"/>
                  <c:y val="-4.3129720801193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3-44CB-94AF-C200F2F5FB51}"/>
                </c:ext>
              </c:extLst>
            </c:dLbl>
            <c:dLbl>
              <c:idx val="13"/>
              <c:layout>
                <c:manualLayout>
                  <c:x val="-2.6445580558354453E-2"/>
                  <c:y val="-3.76986277937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93-44CB-94AF-C200F2F5FB51}"/>
                </c:ext>
              </c:extLst>
            </c:dLbl>
            <c:dLbl>
              <c:idx val="14"/>
              <c:layout>
                <c:manualLayout>
                  <c:x val="-2.6445580558354376E-2"/>
                  <c:y val="-4.0414174297459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90-48F1-8DA6-F78AF70A795A}"/>
                </c:ext>
              </c:extLst>
            </c:dLbl>
            <c:dLbl>
              <c:idx val="15"/>
              <c:layout>
                <c:manualLayout>
                  <c:x val="-2.6445580558354376E-2"/>
                  <c:y val="-5.3991906816128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3-44CB-94AF-C200F2F5FB51}"/>
                </c:ext>
              </c:extLst>
            </c:dLbl>
            <c:dLbl>
              <c:idx val="16"/>
              <c:layout>
                <c:manualLayout>
                  <c:x val="-2.7382833070036861E-2"/>
                  <c:y val="-5.15953835709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0-431E-B199-95AC778AF34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0-431E-B199-95AC778AF34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0-431E-B199-95AC778AF34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0-431E-B199-95AC778AF340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5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Landwirtschaft'!$D$21:$AR$21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67.592627518947467</c:v>
                </c:pt>
                <c:pt idx="13" formatCode="#,##0.0">
                  <c:v>67.362442884434003</c:v>
                </c:pt>
                <c:pt idx="14" formatCode="#,##0.0">
                  <c:v>66.991365198110572</c:v>
                </c:pt>
                <c:pt idx="15" formatCode="#,##0.0">
                  <c:v>66.015569987007467</c:v>
                </c:pt>
                <c:pt idx="16" formatCode="#,##0.0">
                  <c:v>66.050187742886607</c:v>
                </c:pt>
                <c:pt idx="17" formatCode="#,##0.0">
                  <c:v>65.050187742886607</c:v>
                </c:pt>
                <c:pt idx="18" formatCode="#,##0.0">
                  <c:v>63.050187742886607</c:v>
                </c:pt>
                <c:pt idx="19" formatCode="#,##0.0">
                  <c:v>61.050187742886607</c:v>
                </c:pt>
                <c:pt idx="20" formatCode="#,##0.0">
                  <c:v>60.050187742886607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Landwirtschaft'!$C$5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de-DE"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8"/>
        <c:delete val="1"/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1.4666650081062132E-3"/>
          <c:y val="0.78423959110374364"/>
          <c:w val="0.99853333499189378"/>
          <c:h val="0.18045832865596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Abfallwirtschaft'!$B$11</c:f>
              <c:strCache>
                <c:ptCount val="1"/>
                <c:pt idx="0">
                  <c:v>CRF 5.A - Abfalldeponierung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Abfallwirtschaft'!$D$11:$AR$11</c:f>
              <c:numCache>
                <c:formatCode>#,##0.0</c:formatCode>
                <c:ptCount val="21"/>
                <c:pt idx="0">
                  <c:v>9.0151880000000002</c:v>
                </c:pt>
                <c:pt idx="1">
                  <c:v>8.0675279999999994</c:v>
                </c:pt>
                <c:pt idx="2">
                  <c:v>7.2332399999999986</c:v>
                </c:pt>
                <c:pt idx="3">
                  <c:v>6.4712479999999992</c:v>
                </c:pt>
                <c:pt idx="4">
                  <c:v>5.7966160000000002</c:v>
                </c:pt>
                <c:pt idx="5">
                  <c:v>5.1918439999999997</c:v>
                </c:pt>
                <c:pt idx="6">
                  <c:v>4.657184</c:v>
                </c:pt>
                <c:pt idx="7">
                  <c:v>4.2841399999999998</c:v>
                </c:pt>
                <c:pt idx="8">
                  <c:v>3.9445839999999999</c:v>
                </c:pt>
                <c:pt idx="9">
                  <c:v>3.4267239999999997</c:v>
                </c:pt>
                <c:pt idx="10">
                  <c:v>2.973096</c:v>
                </c:pt>
                <c:pt idx="11">
                  <c:v>2.685508</c:v>
                </c:pt>
                <c:pt idx="12">
                  <c:v>2.4319007999999998</c:v>
                </c:pt>
                <c:pt idx="13">
                  <c:v>2.2038800000000003</c:v>
                </c:pt>
                <c:pt idx="14">
                  <c:v>1.9971559999999999</c:v>
                </c:pt>
                <c:pt idx="15">
                  <c:v>1.8458999999999999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1-41E7-951D-17C46FEEE48A}"/>
            </c:ext>
          </c:extLst>
        </c:ser>
        <c:ser>
          <c:idx val="1"/>
          <c:order val="1"/>
          <c:tx>
            <c:strRef>
              <c:f>'Daten Sektor Abfallwirtschaft'!$B$12</c:f>
              <c:strCache>
                <c:ptCount val="1"/>
                <c:pt idx="0">
                  <c:v>CRF 5.B - biologische Behandlung von festen Abfällen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Abfallwirtschaft'!$D$12:$AR$12</c:f>
              <c:numCache>
                <c:formatCode>#,##0.0</c:formatCode>
                <c:ptCount val="21"/>
                <c:pt idx="0">
                  <c:v>0.75787296166000007</c:v>
                </c:pt>
                <c:pt idx="1">
                  <c:v>0.84886990368000004</c:v>
                </c:pt>
                <c:pt idx="2">
                  <c:v>0.88514523103999976</c:v>
                </c:pt>
                <c:pt idx="3">
                  <c:v>0.87896271961999994</c:v>
                </c:pt>
                <c:pt idx="4">
                  <c:v>0.95098706046000003</c:v>
                </c:pt>
                <c:pt idx="5">
                  <c:v>0.95283242503999988</c:v>
                </c:pt>
                <c:pt idx="6">
                  <c:v>0.97731824433999992</c:v>
                </c:pt>
                <c:pt idx="7">
                  <c:v>0.99279035799999993</c:v>
                </c:pt>
                <c:pt idx="8">
                  <c:v>0.96334625699999987</c:v>
                </c:pt>
                <c:pt idx="9">
                  <c:v>0.98143663149999993</c:v>
                </c:pt>
                <c:pt idx="10">
                  <c:v>0.97974194749999988</c:v>
                </c:pt>
                <c:pt idx="11">
                  <c:v>1.0580991975</c:v>
                </c:pt>
                <c:pt idx="12">
                  <c:v>1.0588407812249998</c:v>
                </c:pt>
                <c:pt idx="13">
                  <c:v>1.0793943275</c:v>
                </c:pt>
                <c:pt idx="14">
                  <c:v>1.1126117874999999</c:v>
                </c:pt>
                <c:pt idx="15">
                  <c:v>1.1126117874999999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1-41E7-951D-17C46FEEE48A}"/>
            </c:ext>
          </c:extLst>
        </c:ser>
        <c:ser>
          <c:idx val="2"/>
          <c:order val="2"/>
          <c:tx>
            <c:strRef>
              <c:f>'Daten Sektor Abfallwirtschaft'!$B$13</c:f>
              <c:strCache>
                <c:ptCount val="1"/>
                <c:pt idx="0">
                  <c:v>CRF 5.D - Abwasserbehandlung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Abfallwirtschaft'!$D$13:$AR$13</c:f>
              <c:numCache>
                <c:formatCode>#,##0.0</c:formatCode>
                <c:ptCount val="21"/>
                <c:pt idx="0">
                  <c:v>2.3825023084971879</c:v>
                </c:pt>
                <c:pt idx="1">
                  <c:v>2.3537194550504426</c:v>
                </c:pt>
                <c:pt idx="2">
                  <c:v>2.3277045550581303</c:v>
                </c:pt>
                <c:pt idx="3">
                  <c:v>2.3010193939879651</c:v>
                </c:pt>
                <c:pt idx="4">
                  <c:v>2.2778632152236167</c:v>
                </c:pt>
                <c:pt idx="5">
                  <c:v>2.2629020460248301</c:v>
                </c:pt>
                <c:pt idx="6">
                  <c:v>2.2352887751851203</c:v>
                </c:pt>
                <c:pt idx="7">
                  <c:v>2.2154060624799268</c:v>
                </c:pt>
                <c:pt idx="8">
                  <c:v>2.1903116644533367</c:v>
                </c:pt>
                <c:pt idx="9">
                  <c:v>2.165360966779355</c:v>
                </c:pt>
                <c:pt idx="10">
                  <c:v>2.1331641466270175</c:v>
                </c:pt>
                <c:pt idx="11">
                  <c:v>2.1341726388429589</c:v>
                </c:pt>
                <c:pt idx="12">
                  <c:v>2.1289705197154589</c:v>
                </c:pt>
                <c:pt idx="13">
                  <c:v>2.1368260010491444</c:v>
                </c:pt>
                <c:pt idx="14">
                  <c:v>2.1392822603446073</c:v>
                </c:pt>
                <c:pt idx="15">
                  <c:v>2.1376400189711497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1-41E7-951D-17C46FEEE48A}"/>
            </c:ext>
          </c:extLst>
        </c:ser>
        <c:ser>
          <c:idx val="3"/>
          <c:order val="3"/>
          <c:tx>
            <c:strRef>
              <c:f>'Daten Sektor Abfallwirtschaft'!$B$14</c:f>
              <c:strCache>
                <c:ptCount val="1"/>
                <c:pt idx="0">
                  <c:v>CRF 5.E - übrige Emissionen - Andere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Abfallwirtschaft'!$D$14:$AR$14</c:f>
              <c:numCache>
                <c:formatCode>#,##0.0</c:formatCode>
                <c:ptCount val="21"/>
                <c:pt idx="0">
                  <c:v>3.6388534139999998E-2</c:v>
                </c:pt>
                <c:pt idx="1">
                  <c:v>3.919445823E-2</c:v>
                </c:pt>
                <c:pt idx="2">
                  <c:v>3.7363555530000002E-2</c:v>
                </c:pt>
                <c:pt idx="3">
                  <c:v>3.6500665979999992E-2</c:v>
                </c:pt>
                <c:pt idx="4">
                  <c:v>3.6857210189999996E-2</c:v>
                </c:pt>
                <c:pt idx="5">
                  <c:v>3.5897957339999995E-2</c:v>
                </c:pt>
                <c:pt idx="6">
                  <c:v>3.4584788370000001E-2</c:v>
                </c:pt>
                <c:pt idx="7">
                  <c:v>3.3490626900000001E-2</c:v>
                </c:pt>
                <c:pt idx="8">
                  <c:v>3.3033339239999994E-2</c:v>
                </c:pt>
                <c:pt idx="9">
                  <c:v>3.2802067319999996E-2</c:v>
                </c:pt>
                <c:pt idx="10">
                  <c:v>3.2233523849999994E-2</c:v>
                </c:pt>
                <c:pt idx="11">
                  <c:v>3.1459989359999989E-2</c:v>
                </c:pt>
                <c:pt idx="12">
                  <c:v>3.0101266830000001E-2</c:v>
                </c:pt>
                <c:pt idx="13">
                  <c:v>2.9180559299999999E-2</c:v>
                </c:pt>
                <c:pt idx="14">
                  <c:v>2.8259851769999997E-2</c:v>
                </c:pt>
                <c:pt idx="15">
                  <c:v>2.7339144239999998E-2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4"/>
          <c:tx>
            <c:strRef>
              <c:f>'Daten Sektor Abfallwirtschaft'!$B$15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0AB-82EB-E99DE24701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9-40AB-82EB-E99DE24701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9-40AB-82EB-E99DE24701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9-40AB-82EB-E99DE24701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9-40AB-82EB-E99DE24701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9-40AB-82EB-E99DE24701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9-40AB-82EB-E99DE24701C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19-40AB-82EB-E99DE24701C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19-40AB-82EB-E99DE24701C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19-40AB-82EB-E99DE24701C2}"/>
                </c:ext>
              </c:extLst>
            </c:dLbl>
            <c:numFmt formatCode="#,##0.0" sourceLinked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accent3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Abfallwirtschaft'!$D$15:$AR$15</c:f>
              <c:numCache>
                <c:formatCode>#,##0.0</c:formatCode>
                <c:ptCount val="21"/>
                <c:pt idx="0">
                  <c:v>12.191951804297188</c:v>
                </c:pt>
                <c:pt idx="1">
                  <c:v>11.309311816960442</c:v>
                </c:pt>
                <c:pt idx="2">
                  <c:v>10.483453341628131</c:v>
                </c:pt>
                <c:pt idx="3">
                  <c:v>9.6877307795879641</c:v>
                </c:pt>
                <c:pt idx="4">
                  <c:v>9.0623234858736179</c:v>
                </c:pt>
                <c:pt idx="5">
                  <c:v>8.4434764284048285</c:v>
                </c:pt>
                <c:pt idx="6">
                  <c:v>7.9043758078951205</c:v>
                </c:pt>
                <c:pt idx="7">
                  <c:v>7.5258270473799262</c:v>
                </c:pt>
                <c:pt idx="8">
                  <c:v>7.1312752606933367</c:v>
                </c:pt>
                <c:pt idx="9">
                  <c:v>6.606323665599354</c:v>
                </c:pt>
                <c:pt idx="10">
                  <c:v>6.1182356179770174</c:v>
                </c:pt>
                <c:pt idx="11">
                  <c:v>5.9092398257029579</c:v>
                </c:pt>
                <c:pt idx="12">
                  <c:v>5.6498133677704585</c:v>
                </c:pt>
                <c:pt idx="13">
                  <c:v>5.4492808878491443</c:v>
                </c:pt>
                <c:pt idx="14">
                  <c:v>5.2773098996146075</c:v>
                </c:pt>
                <c:pt idx="15">
                  <c:v>5.1234909507111492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F1-41E7-951D-17C46FEEE48A}"/>
            </c:ext>
          </c:extLst>
        </c:ser>
        <c:ser>
          <c:idx val="9"/>
          <c:order val="5"/>
          <c:tx>
            <c:strRef>
              <c:f>'Daten Sektor Abfallwirtschaft'!$B$17:$C$17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dLbl>
              <c:idx val="13"/>
              <c:layout>
                <c:manualLayout>
                  <c:x val="-2.738283307003694E-2"/>
                  <c:y val="-2.9871011541072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7-47A6-8B17-BCAB3658F7B8}"/>
                </c:ext>
              </c:extLst>
            </c:dLbl>
            <c:dLbl>
              <c:idx val="14"/>
              <c:layout>
                <c:manualLayout>
                  <c:x val="-2.7382833070036861E-2"/>
                  <c:y val="-3.530210454854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7-47A6-8B17-BCAB3658F7B8}"/>
                </c:ext>
              </c:extLst>
            </c:dLbl>
            <c:dLbl>
              <c:idx val="16"/>
              <c:layout>
                <c:manualLayout>
                  <c:x val="-2.5276461295418641E-2"/>
                  <c:y val="-3.530210454854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7-47A6-8B17-BCAB3658F7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7-47A6-8B17-BCAB3658F7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57-47A6-8B17-BCAB3658F7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7-47A6-8B17-BCAB3658F7B8}"/>
                </c:ext>
              </c:extLst>
            </c:dLbl>
            <c:numFmt formatCode="#,##0.0" sourceLinked="0"/>
            <c:spPr>
              <a:noFill/>
              <a:ln w="25400">
                <a:solidFill>
                  <a:schemeClr val="accent3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Abfallwirtschaft'!$D$17:$AR$17</c:f>
              <c:numCache>
                <c:formatCode>#,##0.0</c:formatCode>
                <c:ptCount val="21"/>
                <c:pt idx="10">
                  <c:v>9</c:v>
                </c:pt>
                <c:pt idx="11">
                  <c:v>9</c:v>
                </c:pt>
                <c:pt idx="12">
                  <c:v>8.5006613839937355</c:v>
                </c:pt>
                <c:pt idx="13">
                  <c:v>8.8556929007255043</c:v>
                </c:pt>
                <c:pt idx="14">
                  <c:v>8.3365028454172929</c:v>
                </c:pt>
                <c:pt idx="15">
                  <c:v>8.8463683363844066</c:v>
                </c:pt>
                <c:pt idx="16">
                  <c:v>8.5909438135190577</c:v>
                </c:pt>
                <c:pt idx="17">
                  <c:v>8.5909438135190577</c:v>
                </c:pt>
                <c:pt idx="18">
                  <c:v>7.5909438135190577</c:v>
                </c:pt>
                <c:pt idx="19">
                  <c:v>7.5909438135190577</c:v>
                </c:pt>
                <c:pt idx="20">
                  <c:v>6.5909438135190577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Abfallwirtschaft'!$C$5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4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112569666062617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9298" y="13090071"/>
          <a:ext cx="19714845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7393" y="352425"/>
          <a:ext cx="18274393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52210" y="5580080"/>
    <xdr:ext cx="3587767" cy="208189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52210" y="5580080"/>
          <a:ext cx="3587767" cy="208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65967"/>
          <a:ext cx="59137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 *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4388210" cy="340923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03194" y="5564577"/>
          <a:ext cx="4388210" cy="340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30</xdr:row>
      <xdr:rowOff>0</xdr:rowOff>
    </xdr:from>
    <xdr:to>
      <xdr:col>44</xdr:col>
      <xdr:colOff>0</xdr:colOff>
      <xdr:row>30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784C861-3F48-47DE-9F84-291AB71D2EA9}"/>
            </a:ext>
          </a:extLst>
        </xdr:cNvPr>
        <xdr:cNvCxnSpPr/>
      </xdr:nvCxnSpPr>
      <xdr:spPr>
        <a:xfrm flipV="1">
          <a:off x="360493" y="7306235"/>
          <a:ext cx="30119507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0310537-D961-428F-BAA2-C3FBE50714F7}"/>
            </a:ext>
          </a:extLst>
        </xdr:cNvPr>
        <xdr:cNvCxnSpPr/>
      </xdr:nvCxnSpPr>
      <xdr:spPr>
        <a:xfrm>
          <a:off x="358588" y="2100543"/>
          <a:ext cx="301214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187</xdr:row>
      <xdr:rowOff>0</xdr:rowOff>
    </xdr:from>
    <xdr:to>
      <xdr:col>44</xdr:col>
      <xdr:colOff>0</xdr:colOff>
      <xdr:row>187</xdr:row>
      <xdr:rowOff>2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4AD75305-2982-45AE-A470-861A2B3A7010}"/>
            </a:ext>
          </a:extLst>
        </xdr:cNvPr>
        <xdr:cNvCxnSpPr/>
      </xdr:nvCxnSpPr>
      <xdr:spPr>
        <a:xfrm flipV="1">
          <a:off x="363855" y="35613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43</xdr:row>
      <xdr:rowOff>0</xdr:rowOff>
    </xdr:from>
    <xdr:to>
      <xdr:col>44</xdr:col>
      <xdr:colOff>0</xdr:colOff>
      <xdr:row>43</xdr:row>
      <xdr:rowOff>2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EC941A9F-5920-4068-869B-B83AB1BBAD9E}"/>
            </a:ext>
          </a:extLst>
        </xdr:cNvPr>
        <xdr:cNvCxnSpPr/>
      </xdr:nvCxnSpPr>
      <xdr:spPr>
        <a:xfrm flipV="1">
          <a:off x="363855" y="9324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187</xdr:row>
      <xdr:rowOff>0</xdr:rowOff>
    </xdr:from>
    <xdr:to>
      <xdr:col>44</xdr:col>
      <xdr:colOff>0</xdr:colOff>
      <xdr:row>187</xdr:row>
      <xdr:rowOff>2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2FD6A6B9-EF22-47FA-A934-7EDDE28CB01E}"/>
            </a:ext>
          </a:extLst>
        </xdr:cNvPr>
        <xdr:cNvCxnSpPr/>
      </xdr:nvCxnSpPr>
      <xdr:spPr>
        <a:xfrm flipV="1">
          <a:off x="363855" y="35613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163</xdr:row>
      <xdr:rowOff>0</xdr:rowOff>
    </xdr:from>
    <xdr:to>
      <xdr:col>44</xdr:col>
      <xdr:colOff>0</xdr:colOff>
      <xdr:row>163</xdr:row>
      <xdr:rowOff>2</xdr:rowOff>
    </xdr:to>
    <xdr:cxnSp macro="">
      <xdr:nvCxnSpPr>
        <xdr:cNvPr id="7" name="Gerade Verbindung 1">
          <a:extLst>
            <a:ext uri="{FF2B5EF4-FFF2-40B4-BE49-F238E27FC236}">
              <a16:creationId xmlns:a16="http://schemas.microsoft.com/office/drawing/2014/main" id="{DDA10D24-9698-460B-A26C-4E8D2D9E7853}"/>
            </a:ext>
          </a:extLst>
        </xdr:cNvPr>
        <xdr:cNvCxnSpPr/>
      </xdr:nvCxnSpPr>
      <xdr:spPr>
        <a:xfrm flipV="1">
          <a:off x="363855" y="31232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163</xdr:row>
      <xdr:rowOff>0</xdr:rowOff>
    </xdr:from>
    <xdr:to>
      <xdr:col>44</xdr:col>
      <xdr:colOff>0</xdr:colOff>
      <xdr:row>163</xdr:row>
      <xdr:rowOff>2</xdr:rowOff>
    </xdr:to>
    <xdr:cxnSp macro="">
      <xdr:nvCxnSpPr>
        <xdr:cNvPr id="8" name="Gerade Verbindung 1">
          <a:extLst>
            <a:ext uri="{FF2B5EF4-FFF2-40B4-BE49-F238E27FC236}">
              <a16:creationId xmlns:a16="http://schemas.microsoft.com/office/drawing/2014/main" id="{183B5E5F-7A57-4F45-9B97-DA211B20094D}"/>
            </a:ext>
          </a:extLst>
        </xdr:cNvPr>
        <xdr:cNvCxnSpPr/>
      </xdr:nvCxnSpPr>
      <xdr:spPr>
        <a:xfrm flipV="1">
          <a:off x="363855" y="31232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139</xdr:row>
      <xdr:rowOff>0</xdr:rowOff>
    </xdr:from>
    <xdr:to>
      <xdr:col>44</xdr:col>
      <xdr:colOff>0</xdr:colOff>
      <xdr:row>139</xdr:row>
      <xdr:rowOff>2</xdr:rowOff>
    </xdr:to>
    <xdr:cxnSp macro="">
      <xdr:nvCxnSpPr>
        <xdr:cNvPr id="9" name="Gerade Verbindung 1">
          <a:extLst>
            <a:ext uri="{FF2B5EF4-FFF2-40B4-BE49-F238E27FC236}">
              <a16:creationId xmlns:a16="http://schemas.microsoft.com/office/drawing/2014/main" id="{E8CFC68D-6665-4668-AC49-F6E097A53F54}"/>
            </a:ext>
          </a:extLst>
        </xdr:cNvPr>
        <xdr:cNvCxnSpPr/>
      </xdr:nvCxnSpPr>
      <xdr:spPr>
        <a:xfrm flipV="1">
          <a:off x="363855" y="26850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139</xdr:row>
      <xdr:rowOff>0</xdr:rowOff>
    </xdr:from>
    <xdr:to>
      <xdr:col>44</xdr:col>
      <xdr:colOff>0</xdr:colOff>
      <xdr:row>139</xdr:row>
      <xdr:rowOff>2</xdr:rowOff>
    </xdr:to>
    <xdr:cxnSp macro="">
      <xdr:nvCxnSpPr>
        <xdr:cNvPr id="10" name="Gerade Verbindung 1">
          <a:extLst>
            <a:ext uri="{FF2B5EF4-FFF2-40B4-BE49-F238E27FC236}">
              <a16:creationId xmlns:a16="http://schemas.microsoft.com/office/drawing/2014/main" id="{5B5CAD1A-BDFB-4B29-A853-EA69538D6B4E}"/>
            </a:ext>
          </a:extLst>
        </xdr:cNvPr>
        <xdr:cNvCxnSpPr/>
      </xdr:nvCxnSpPr>
      <xdr:spPr>
        <a:xfrm flipV="1">
          <a:off x="363855" y="26850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115</xdr:row>
      <xdr:rowOff>0</xdr:rowOff>
    </xdr:from>
    <xdr:to>
      <xdr:col>44</xdr:col>
      <xdr:colOff>0</xdr:colOff>
      <xdr:row>115</xdr:row>
      <xdr:rowOff>2</xdr:rowOff>
    </xdr:to>
    <xdr:cxnSp macro="">
      <xdr:nvCxnSpPr>
        <xdr:cNvPr id="11" name="Gerade Verbindung 1">
          <a:extLst>
            <a:ext uri="{FF2B5EF4-FFF2-40B4-BE49-F238E27FC236}">
              <a16:creationId xmlns:a16="http://schemas.microsoft.com/office/drawing/2014/main" id="{E8723C94-E92A-4A0A-85D0-9C5F718B42F7}"/>
            </a:ext>
          </a:extLst>
        </xdr:cNvPr>
        <xdr:cNvCxnSpPr/>
      </xdr:nvCxnSpPr>
      <xdr:spPr>
        <a:xfrm flipV="1">
          <a:off x="363855" y="22469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115</xdr:row>
      <xdr:rowOff>0</xdr:rowOff>
    </xdr:from>
    <xdr:to>
      <xdr:col>44</xdr:col>
      <xdr:colOff>0</xdr:colOff>
      <xdr:row>115</xdr:row>
      <xdr:rowOff>2</xdr:rowOff>
    </xdr:to>
    <xdr:cxnSp macro="">
      <xdr:nvCxnSpPr>
        <xdr:cNvPr id="12" name="Gerade Verbindung 1">
          <a:extLst>
            <a:ext uri="{FF2B5EF4-FFF2-40B4-BE49-F238E27FC236}">
              <a16:creationId xmlns:a16="http://schemas.microsoft.com/office/drawing/2014/main" id="{8A5DF603-29E0-44CC-86C0-E3EC0D990404}"/>
            </a:ext>
          </a:extLst>
        </xdr:cNvPr>
        <xdr:cNvCxnSpPr/>
      </xdr:nvCxnSpPr>
      <xdr:spPr>
        <a:xfrm flipV="1">
          <a:off x="363855" y="22469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91</xdr:row>
      <xdr:rowOff>0</xdr:rowOff>
    </xdr:from>
    <xdr:to>
      <xdr:col>44</xdr:col>
      <xdr:colOff>0</xdr:colOff>
      <xdr:row>91</xdr:row>
      <xdr:rowOff>2</xdr:rowOff>
    </xdr:to>
    <xdr:cxnSp macro="">
      <xdr:nvCxnSpPr>
        <xdr:cNvPr id="13" name="Gerade Verbindung 1">
          <a:extLst>
            <a:ext uri="{FF2B5EF4-FFF2-40B4-BE49-F238E27FC236}">
              <a16:creationId xmlns:a16="http://schemas.microsoft.com/office/drawing/2014/main" id="{4866F875-33FB-404A-8D64-27439EB06EC2}"/>
            </a:ext>
          </a:extLst>
        </xdr:cNvPr>
        <xdr:cNvCxnSpPr/>
      </xdr:nvCxnSpPr>
      <xdr:spPr>
        <a:xfrm flipV="1">
          <a:off x="363855" y="18087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91</xdr:row>
      <xdr:rowOff>0</xdr:rowOff>
    </xdr:from>
    <xdr:to>
      <xdr:col>44</xdr:col>
      <xdr:colOff>0</xdr:colOff>
      <xdr:row>91</xdr:row>
      <xdr:rowOff>2</xdr:rowOff>
    </xdr:to>
    <xdr:cxnSp macro="">
      <xdr:nvCxnSpPr>
        <xdr:cNvPr id="14" name="Gerade Verbindung 1">
          <a:extLst>
            <a:ext uri="{FF2B5EF4-FFF2-40B4-BE49-F238E27FC236}">
              <a16:creationId xmlns:a16="http://schemas.microsoft.com/office/drawing/2014/main" id="{6DF2DAF9-8501-4006-B46F-8854ADB4C10C}"/>
            </a:ext>
          </a:extLst>
        </xdr:cNvPr>
        <xdr:cNvCxnSpPr/>
      </xdr:nvCxnSpPr>
      <xdr:spPr>
        <a:xfrm flipV="1">
          <a:off x="363855" y="18087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67</xdr:row>
      <xdr:rowOff>0</xdr:rowOff>
    </xdr:from>
    <xdr:to>
      <xdr:col>44</xdr:col>
      <xdr:colOff>0</xdr:colOff>
      <xdr:row>67</xdr:row>
      <xdr:rowOff>2</xdr:rowOff>
    </xdr:to>
    <xdr:cxnSp macro="">
      <xdr:nvCxnSpPr>
        <xdr:cNvPr id="15" name="Gerade Verbindung 1">
          <a:extLst>
            <a:ext uri="{FF2B5EF4-FFF2-40B4-BE49-F238E27FC236}">
              <a16:creationId xmlns:a16="http://schemas.microsoft.com/office/drawing/2014/main" id="{073C1C4F-2139-494E-A9F5-5E36848ECFB9}"/>
            </a:ext>
          </a:extLst>
        </xdr:cNvPr>
        <xdr:cNvCxnSpPr/>
      </xdr:nvCxnSpPr>
      <xdr:spPr>
        <a:xfrm flipV="1">
          <a:off x="363855" y="13706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67</xdr:row>
      <xdr:rowOff>0</xdr:rowOff>
    </xdr:from>
    <xdr:to>
      <xdr:col>44</xdr:col>
      <xdr:colOff>0</xdr:colOff>
      <xdr:row>67</xdr:row>
      <xdr:rowOff>2</xdr:rowOff>
    </xdr:to>
    <xdr:cxnSp macro="">
      <xdr:nvCxnSpPr>
        <xdr:cNvPr id="16" name="Gerade Verbindung 1">
          <a:extLst>
            <a:ext uri="{FF2B5EF4-FFF2-40B4-BE49-F238E27FC236}">
              <a16:creationId xmlns:a16="http://schemas.microsoft.com/office/drawing/2014/main" id="{22744861-4345-4B89-A022-857A32A9AF3B}"/>
            </a:ext>
          </a:extLst>
        </xdr:cNvPr>
        <xdr:cNvCxnSpPr/>
      </xdr:nvCxnSpPr>
      <xdr:spPr>
        <a:xfrm flipV="1">
          <a:off x="363855" y="13706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87BA2969-4F63-433C-AC45-DEC35945B4F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46435C8-40D9-4BC5-AF0A-573DFF71497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4" name="Textfeld 3">
          <a:extLst>
            <a:ext uri="{FF2B5EF4-FFF2-40B4-BE49-F238E27FC236}">
              <a16:creationId xmlns:a16="http://schemas.microsoft.com/office/drawing/2014/main" id="{D9F22469-D690-4621-93BD-90F2BBA5AA76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5" name="Textfeld 4">
          <a:extLst>
            <a:ext uri="{FF2B5EF4-FFF2-40B4-BE49-F238E27FC236}">
              <a16:creationId xmlns:a16="http://schemas.microsoft.com/office/drawing/2014/main" id="{BF364425-0B25-4699-BAE3-F0A736219A06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290EB8E-2558-495D-A4B2-4063C6D0B7F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3CCD6670-D4EB-4EF6-88B9-8CF28BEA48F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678CABA-A59E-489B-A7A1-EAAF692D8FA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72AD77E8-9F95-4CC8-A4C1-74E2A6BD069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CEE8BF47-F960-485D-A770-673BF5D63A4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AAE2FDC-9823-46FE-98E3-733CF29507E5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04F99CF-A9B4-4DCD-BD7B-6BAE6923AF6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8E1B971-032F-4397-AF4A-5D9CD7057C4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C11ACA44-6C09-466B-8180-CD213EF3AD6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FB73E10-BCFC-4EB0-B910-EEF25893FEE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76418</xdr:colOff>
      <xdr:row>3</xdr:row>
      <xdr:rowOff>159632</xdr:rowOff>
    </xdr:from>
    <xdr:to>
      <xdr:col>18</xdr:col>
      <xdr:colOff>76418</xdr:colOff>
      <xdr:row>18</xdr:row>
      <xdr:rowOff>1049651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492583A-41D5-47DD-99C8-E4EFF6430276}"/>
            </a:ext>
          </a:extLst>
        </xdr:cNvPr>
        <xdr:cNvCxnSpPr/>
      </xdr:nvCxnSpPr>
      <xdr:spPr>
        <a:xfrm>
          <a:off x="9029918" y="912107"/>
          <a:ext cx="0" cy="39951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25B6B07-19B8-48BB-88F3-89120309E196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18" name="Textfeld 17">
          <a:extLst>
            <a:ext uri="{FF2B5EF4-FFF2-40B4-BE49-F238E27FC236}">
              <a16:creationId xmlns:a16="http://schemas.microsoft.com/office/drawing/2014/main" id="{4A0D29D6-1BAD-4864-B4F2-2390F1FB4DC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53578C0C-5763-4215-ADD1-BC67EAF61B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6BB5EC5-9843-481C-9C30-B2AA79B75283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13C326B-75E0-4492-9D26-E600FE0CC5C2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3B6AD11-175A-416D-B7C5-53057412D7D4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4" name="Textfeld 3">
          <a:extLst>
            <a:ext uri="{FF2B5EF4-FFF2-40B4-BE49-F238E27FC236}">
              <a16:creationId xmlns:a16="http://schemas.microsoft.com/office/drawing/2014/main" id="{F73F0DB1-0799-47F9-BAF6-D12F12416606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5" name="Textfeld 4">
          <a:extLst>
            <a:ext uri="{FF2B5EF4-FFF2-40B4-BE49-F238E27FC236}">
              <a16:creationId xmlns:a16="http://schemas.microsoft.com/office/drawing/2014/main" id="{B5B8C73D-A65A-4100-B9CF-D92F31593302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252EB5D-946B-40F4-ABB5-EA5EE58D0A1C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BB41BE1-8A65-46B1-B733-FDA79F5D90EF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3B52BAD-938D-406B-965E-FA50CAF9594E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44A707B-98C0-4804-B04F-36CE823730B5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45C9DC8B-F18A-453E-BC9A-0D3C4B6E19A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CF8AF98-F5E8-4281-A75E-3A833BD029C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1436AFC-FE0C-4449-A48A-98EDCADF0202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1FE60361-036D-4505-AD10-00C17954342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35E46E-9D0F-49CC-9678-C1BCFB55FE4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4781C47-F045-4180-926D-CE51C6D9744E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CF822FA1-5777-4C66-A15B-50468F50340A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F2B8555-A7DB-47C9-AC0D-26941772B010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18" name="Textfeld 17">
          <a:extLst>
            <a:ext uri="{FF2B5EF4-FFF2-40B4-BE49-F238E27FC236}">
              <a16:creationId xmlns:a16="http://schemas.microsoft.com/office/drawing/2014/main" id="{F3DE638E-314C-419E-A11F-75A344CF642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7B70C2B-4EF9-4D39-BF94-B3FFF7957B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C5EA2A3E-F218-4274-85CB-9B25144E91BD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95ABD04-0880-4964-9C56-ECB6B4E589E4}"/>
            </a:ext>
          </a:extLst>
        </xdr:cNvPr>
        <xdr:cNvCxnSpPr/>
      </xdr:nvCxnSpPr>
      <xdr:spPr>
        <a:xfrm flipV="1">
          <a:off x="363855" y="6429375"/>
          <a:ext cx="30163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4AFA643-A42F-4AA3-BE81-277D1EDCA7DF}"/>
            </a:ext>
          </a:extLst>
        </xdr:cNvPr>
        <xdr:cNvCxnSpPr/>
      </xdr:nvCxnSpPr>
      <xdr:spPr>
        <a:xfrm>
          <a:off x="361950" y="2124075"/>
          <a:ext cx="301656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4344865" y="5550773"/>
    <xdr:ext cx="1565804" cy="193536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B8B7B87-76BA-429D-9C07-981D6414038C}"/>
            </a:ext>
          </a:extLst>
        </xdr:cNvPr>
        <xdr:cNvSpPr txBox="1"/>
      </xdr:nvSpPr>
      <xdr:spPr>
        <a:xfrm>
          <a:off x="4344865" y="5550773"/>
          <a:ext cx="1565804" cy="19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853B308C-16E4-4198-8E57-525C6E10C7DB}" type="TxLink">
            <a:rPr lang="en-US" sz="600" b="0" i="0" u="none" strike="noStrike">
              <a:solidFill>
                <a:srgbClr val="000000"/>
              </a:solidFill>
              <a:latin typeface="Cambria"/>
              <a:ea typeface="Cambria"/>
              <a:cs typeface="Calibri"/>
            </a:rPr>
            <a:pPr marL="0" indent="0" algn="r"/>
            <a:t>Quelle: Umweltbundesamt  12.03.2026</a:t>
          </a:fld>
          <a:endParaRPr lang="de-DE" sz="2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08D066-01F9-4A9C-AD01-A5F6D46A34F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Energiew.'!$C$1">
      <xdr:nvSpPr>
        <xdr:cNvPr id="4" name="Textfeld 3">
          <a:extLst>
            <a:ext uri="{FF2B5EF4-FFF2-40B4-BE49-F238E27FC236}">
              <a16:creationId xmlns:a16="http://schemas.microsoft.com/office/drawing/2014/main" id="{C2157F1B-643A-43B4-A2DA-D4A68C9C6289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Energiew.'!$C$2">
      <xdr:nvSpPr>
        <xdr:cNvPr id="5" name="Textfeld 4">
          <a:extLst>
            <a:ext uri="{FF2B5EF4-FFF2-40B4-BE49-F238E27FC236}">
              <a16:creationId xmlns:a16="http://schemas.microsoft.com/office/drawing/2014/main" id="{1CF7393C-255A-4197-BBD0-40B4D9C3685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Energiewirtschaft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2967465-0FE0-468B-95AC-99150736C7C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A14B549-ED03-4C4C-B0AF-422B7612759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AB6744D-E4DC-4E55-8EAA-7F3DDC48002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D2B2EF0F-FBD8-48EB-B2C7-733C4EDEC9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343D733-6988-401D-A81E-0BF3A268F3F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A365D5-72FA-4937-9CA6-4BE659F00E3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2E38D502-A9E5-4A01-934C-4062E8B96F6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7A3206F0-C291-4AEF-9CD6-9DA2F616516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36791F0E-2EDC-453A-85A8-A0E9A51ED23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E062733-A845-4C17-B096-33755480BA0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98399</xdr:colOff>
      <xdr:row>3</xdr:row>
      <xdr:rowOff>144978</xdr:rowOff>
    </xdr:from>
    <xdr:to>
      <xdr:col>18</xdr:col>
      <xdr:colOff>98399</xdr:colOff>
      <xdr:row>18</xdr:row>
      <xdr:rowOff>1034997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261D396-DC2A-4254-B859-F709A4E20656}"/>
            </a:ext>
          </a:extLst>
        </xdr:cNvPr>
        <xdr:cNvCxnSpPr/>
      </xdr:nvCxnSpPr>
      <xdr:spPr>
        <a:xfrm>
          <a:off x="9059226" y="899651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ED79658-BE13-4A37-9A3D-D9A4C49F589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21864" cy="238346"/>
    <xdr:sp macro="" textlink="'Daten Sektor Energiew.'!C4">
      <xdr:nvSpPr>
        <xdr:cNvPr id="18" name="Textfeld 17">
          <a:extLst>
            <a:ext uri="{FF2B5EF4-FFF2-40B4-BE49-F238E27FC236}">
              <a16:creationId xmlns:a16="http://schemas.microsoft.com/office/drawing/2014/main" id="{77DF343D-B41C-4A63-ACA0-23F138C01C78}"/>
            </a:ext>
          </a:extLst>
        </xdr:cNvPr>
        <xdr:cNvSpPr txBox="1"/>
      </xdr:nvSpPr>
      <xdr:spPr>
        <a:xfrm>
          <a:off x="103194" y="5564578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9E890AB-15C6-495C-B5EE-BAA6222CA838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EF8E54-CBE9-4447-B5DE-1795FB7C3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8061B87D-738C-468D-AEF0-716E022EF04B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5" y="5753613"/>
    <xdr:ext cx="4021864" cy="238346"/>
    <xdr:sp macro="" textlink="'Daten Sektor Energiew.'!C5">
      <xdr:nvSpPr>
        <xdr:cNvPr id="21" name="Textfeld 20">
          <a:extLst>
            <a:ext uri="{FF2B5EF4-FFF2-40B4-BE49-F238E27FC236}">
              <a16:creationId xmlns:a16="http://schemas.microsoft.com/office/drawing/2014/main" id="{3C45A816-ADDD-4C77-8A57-EDE17A074B7E}"/>
            </a:ext>
          </a:extLst>
        </xdr:cNvPr>
        <xdr:cNvSpPr txBox="1"/>
      </xdr:nvSpPr>
      <xdr:spPr>
        <a:xfrm>
          <a:off x="109055" y="5753613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9739D18B-4CF8-45B6-899D-4BB1AD5B27CE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2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19</xdr:row>
      <xdr:rowOff>0</xdr:rowOff>
    </xdr:from>
    <xdr:to>
      <xdr:col>44</xdr:col>
      <xdr:colOff>0</xdr:colOff>
      <xdr:row>19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6358D23-DB4E-49A1-8F43-FE30DD0A9688}"/>
            </a:ext>
          </a:extLst>
        </xdr:cNvPr>
        <xdr:cNvCxnSpPr/>
      </xdr:nvCxnSpPr>
      <xdr:spPr>
        <a:xfrm flipV="1">
          <a:off x="363855" y="6429375"/>
          <a:ext cx="20105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0A5EFEA-251E-4A86-8505-EC16E3D1E8CD}"/>
            </a:ext>
          </a:extLst>
        </xdr:cNvPr>
        <xdr:cNvCxnSpPr/>
      </xdr:nvCxnSpPr>
      <xdr:spPr>
        <a:xfrm>
          <a:off x="361950" y="2124075"/>
          <a:ext cx="20107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20819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4404212-D8A6-4A84-98C8-CB704D35DC1D}"/>
            </a:ext>
          </a:extLst>
        </xdr:cNvPr>
        <xdr:cNvSpPr txBox="1"/>
      </xdr:nvSpPr>
      <xdr:spPr>
        <a:xfrm>
          <a:off x="2322902" y="5550773"/>
          <a:ext cx="3587767" cy="20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223758-D5D6-4BAC-A4C8-FB70EE10413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Industrie'!$C$1">
      <xdr:nvSpPr>
        <xdr:cNvPr id="4" name="Textfeld 3">
          <a:extLst>
            <a:ext uri="{FF2B5EF4-FFF2-40B4-BE49-F238E27FC236}">
              <a16:creationId xmlns:a16="http://schemas.microsoft.com/office/drawing/2014/main" id="{F060CD4A-F51A-4EA9-917A-7AB48B984B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Industrie'!$C$2">
      <xdr:nvSpPr>
        <xdr:cNvPr id="5" name="Textfeld 4">
          <a:extLst>
            <a:ext uri="{FF2B5EF4-FFF2-40B4-BE49-F238E27FC236}">
              <a16:creationId xmlns:a16="http://schemas.microsoft.com/office/drawing/2014/main" id="{B310C648-83D8-4C0B-A43F-FA3ADE5765F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Industrie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671870B-8940-4A83-929B-D394CCDC45E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A76E055-8C5B-4C83-8E04-CDC6661D894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C5AF52B-203F-412D-B777-55062041D17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9898FB1-A1C9-4D7C-B5D3-A351B03D298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5FE937B-D759-48FC-9701-C2A7474107B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C606D5B-335F-46AC-B44B-6D4FE7A1FC11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17CAF916-E582-4284-8002-5FD77942CDA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EFF4D56A-7B0A-4CE3-8E55-1FC41F400EC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2B4F35-6494-41FD-A6FA-2BF10602DFB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5B6AC2A-406D-4AB5-87CD-0D13D97E0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98399</xdr:colOff>
      <xdr:row>3</xdr:row>
      <xdr:rowOff>144979</xdr:rowOff>
    </xdr:from>
    <xdr:to>
      <xdr:col>18</xdr:col>
      <xdr:colOff>98399</xdr:colOff>
      <xdr:row>18</xdr:row>
      <xdr:rowOff>1034998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96CE92A-65D7-4533-A7F8-9EE5C52B3ECF}"/>
            </a:ext>
          </a:extLst>
        </xdr:cNvPr>
        <xdr:cNvCxnSpPr/>
      </xdr:nvCxnSpPr>
      <xdr:spPr>
        <a:xfrm>
          <a:off x="9059226" y="899652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C1A21A1-A5FD-4F87-90D3-F2B9013EAB5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3809383" cy="201711"/>
    <xdr:sp macro="" textlink="'Daten Sektor Industrie'!C4">
      <xdr:nvSpPr>
        <xdr:cNvPr id="18" name="Textfeld 17">
          <a:extLst>
            <a:ext uri="{FF2B5EF4-FFF2-40B4-BE49-F238E27FC236}">
              <a16:creationId xmlns:a16="http://schemas.microsoft.com/office/drawing/2014/main" id="{86066D16-C682-430C-893F-CFBE5512D650}"/>
            </a:ext>
          </a:extLst>
        </xdr:cNvPr>
        <xdr:cNvSpPr txBox="1"/>
      </xdr:nvSpPr>
      <xdr:spPr>
        <a:xfrm>
          <a:off x="103194" y="5564577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ACE000DE-2B14-49D8-BEC8-954DEF2508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590A6711-A922-4803-AE23-B53F54650D3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4" y="5738958"/>
    <xdr:ext cx="3809383" cy="201711"/>
    <xdr:sp macro="" textlink="'Daten Sektor Industrie'!C5">
      <xdr:nvSpPr>
        <xdr:cNvPr id="21" name="Textfeld 20">
          <a:extLst>
            <a:ext uri="{FF2B5EF4-FFF2-40B4-BE49-F238E27FC236}">
              <a16:creationId xmlns:a16="http://schemas.microsoft.com/office/drawing/2014/main" id="{E589CBA1-1AAE-4C15-9B04-AE9979B4BE8A}"/>
            </a:ext>
          </a:extLst>
        </xdr:cNvPr>
        <xdr:cNvSpPr txBox="1"/>
      </xdr:nvSpPr>
      <xdr:spPr>
        <a:xfrm>
          <a:off x="109054" y="5738958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B12DFD-737F-47E6-81FA-5875B7C2FCC3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CED194C-03FD-4D0C-A14A-394CB74F1166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3D7D067E-1E33-4BF4-AD66-47E2F0D69460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78882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B0155037-BC72-4CDD-88FD-EA3FE61AC7A5}"/>
            </a:ext>
          </a:extLst>
        </xdr:cNvPr>
        <xdr:cNvSpPr txBox="1"/>
      </xdr:nvSpPr>
      <xdr:spPr>
        <a:xfrm>
          <a:off x="2322902" y="5550773"/>
          <a:ext cx="3587767" cy="178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43A612-60CC-48B0-97D2-9B76EE0840E8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Gebäude'!$C$1">
      <xdr:nvSpPr>
        <xdr:cNvPr id="4" name="Textfeld 3">
          <a:extLst>
            <a:ext uri="{FF2B5EF4-FFF2-40B4-BE49-F238E27FC236}">
              <a16:creationId xmlns:a16="http://schemas.microsoft.com/office/drawing/2014/main" id="{C1256E87-D63A-472C-822D-FB7A18B58A2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Gebäude'!$C$2">
      <xdr:nvSpPr>
        <xdr:cNvPr id="5" name="Textfeld 4">
          <a:extLst>
            <a:ext uri="{FF2B5EF4-FFF2-40B4-BE49-F238E27FC236}">
              <a16:creationId xmlns:a16="http://schemas.microsoft.com/office/drawing/2014/main" id="{EEF1FC5A-FC43-4D16-88B4-94EC555ADFB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Gebäude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674D614-9B67-4958-9EE6-42B1CA1EB8F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254498B-DA2A-4989-953F-73B83D639917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0C9AE02-28B1-4C6E-A15D-9C30C55E9D8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8659592-A435-45A0-9057-0091F3EB29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567EA28-5ACB-4675-8082-B80F2593293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2C7D633-4CAA-46FD-86CF-A80742400FD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F869B98B-AFF6-49D2-913F-AD53EDD3DDF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49436A3-8F39-4427-B0F5-71D906B3333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F596EE0-4DE7-4310-A685-067A70F69DC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ADC38B8-3C30-4C61-96E2-15381370B8C6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105726</xdr:colOff>
      <xdr:row>3</xdr:row>
      <xdr:rowOff>130324</xdr:rowOff>
    </xdr:from>
    <xdr:to>
      <xdr:col>18</xdr:col>
      <xdr:colOff>105726</xdr:colOff>
      <xdr:row>18</xdr:row>
      <xdr:rowOff>1020343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D6DEDF-3A24-4864-9A5E-847E1CB2E03C}"/>
            </a:ext>
          </a:extLst>
        </xdr:cNvPr>
        <xdr:cNvCxnSpPr/>
      </xdr:nvCxnSpPr>
      <xdr:spPr>
        <a:xfrm>
          <a:off x="9066553" y="884997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C66EE90-064D-4032-A67E-0BA1FA364B9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985229" cy="238346"/>
    <xdr:sp macro="" textlink="'Daten Sektor Gebäude'!C4">
      <xdr:nvSpPr>
        <xdr:cNvPr id="18" name="Textfeld 17">
          <a:extLst>
            <a:ext uri="{FF2B5EF4-FFF2-40B4-BE49-F238E27FC236}">
              <a16:creationId xmlns:a16="http://schemas.microsoft.com/office/drawing/2014/main" id="{0F632CBA-BD95-4707-8D9B-D332A7348F63}"/>
            </a:ext>
          </a:extLst>
        </xdr:cNvPr>
        <xdr:cNvSpPr txBox="1"/>
      </xdr:nvSpPr>
      <xdr:spPr>
        <a:xfrm>
          <a:off x="103194" y="5564578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FC51D3B-0996-4CC2-8E54-C04909CAB1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9A777B4-067B-41F0-A435-C0386F6E8231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1727" y="5738959"/>
    <xdr:ext cx="3985229" cy="238346"/>
    <xdr:sp macro="" textlink="'Daten Sektor Gebäude'!C5">
      <xdr:nvSpPr>
        <xdr:cNvPr id="21" name="Textfeld 20">
          <a:extLst>
            <a:ext uri="{FF2B5EF4-FFF2-40B4-BE49-F238E27FC236}">
              <a16:creationId xmlns:a16="http://schemas.microsoft.com/office/drawing/2014/main" id="{B8186A8F-70C2-419F-9CD0-A07943BF374F}"/>
            </a:ext>
          </a:extLst>
        </xdr:cNvPr>
        <xdr:cNvSpPr txBox="1"/>
      </xdr:nvSpPr>
      <xdr:spPr>
        <a:xfrm>
          <a:off x="101727" y="5738959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EAC99F6C-F805-41F6-800E-3EFCD32A48FE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46</xdr:row>
      <xdr:rowOff>0</xdr:rowOff>
    </xdr:from>
    <xdr:to>
      <xdr:col>38</xdr:col>
      <xdr:colOff>0</xdr:colOff>
      <xdr:row>46</xdr:row>
      <xdr:rowOff>9527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369298" y="11130643"/>
          <a:ext cx="19714845" cy="952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67393" y="352425"/>
          <a:ext cx="1827439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FAED5C8-56A5-48A3-BA5C-0C225B578289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9EB42B9-08C4-438A-A8FC-50182528DF0C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49574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79F13624-5812-47A5-B23F-10E334EEF4FE}"/>
            </a:ext>
          </a:extLst>
        </xdr:cNvPr>
        <xdr:cNvSpPr txBox="1"/>
      </xdr:nvSpPr>
      <xdr:spPr>
        <a:xfrm>
          <a:off x="2322902" y="5550773"/>
          <a:ext cx="3587767" cy="14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9CA8DD-B738-4075-B604-77B1F9CC9B1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Verkehr'!$C$1">
      <xdr:nvSpPr>
        <xdr:cNvPr id="4" name="Textfeld 3">
          <a:extLst>
            <a:ext uri="{FF2B5EF4-FFF2-40B4-BE49-F238E27FC236}">
              <a16:creationId xmlns:a16="http://schemas.microsoft.com/office/drawing/2014/main" id="{8AA91496-4C33-4708-92B3-3AF6DE81DA2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Verkehr'!$C$2">
      <xdr:nvSpPr>
        <xdr:cNvPr id="5" name="Textfeld 4">
          <a:extLst>
            <a:ext uri="{FF2B5EF4-FFF2-40B4-BE49-F238E27FC236}">
              <a16:creationId xmlns:a16="http://schemas.microsoft.com/office/drawing/2014/main" id="{B6711CF0-E2A6-4031-8CF5-7B658D90D8D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Verkehr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D07B0AC-AF12-454E-9402-EBDE7A5FA0A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2CD9E50E-E4EA-42CB-AD1A-D4076C6F729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2B7227B0-3B9D-4C9D-9C83-242775C6767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A9CB53F-4D62-48E8-825E-AFD96703361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EF7F5C5-21DD-40A5-B942-302229FADE3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8899CFA-2DC9-4D49-A7AB-104A0C7FA66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CA4FF1B-FE74-4220-B9C3-02BA6A2B096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C2E6F8E-4C60-4E8E-9790-BF7B5753D90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65401B3-2D05-4DCF-8AE3-E5717F65D8E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B58FACE-D53C-42BA-A2C0-A3B95B586E1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105726</xdr:colOff>
      <xdr:row>3</xdr:row>
      <xdr:rowOff>101017</xdr:rowOff>
    </xdr:from>
    <xdr:to>
      <xdr:col>18</xdr:col>
      <xdr:colOff>105726</xdr:colOff>
      <xdr:row>18</xdr:row>
      <xdr:rowOff>991036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DD86CBD-050B-4B2C-AB7C-29B640718E97}"/>
            </a:ext>
          </a:extLst>
        </xdr:cNvPr>
        <xdr:cNvCxnSpPr/>
      </xdr:nvCxnSpPr>
      <xdr:spPr>
        <a:xfrm>
          <a:off x="9066553" y="855690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E588683D-FD23-4913-A4FA-504575DCC579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802056" cy="318942"/>
    <xdr:sp macro="" textlink="'Daten Sektor Verkehr'!C4">
      <xdr:nvSpPr>
        <xdr:cNvPr id="18" name="Textfeld 17">
          <a:extLst>
            <a:ext uri="{FF2B5EF4-FFF2-40B4-BE49-F238E27FC236}">
              <a16:creationId xmlns:a16="http://schemas.microsoft.com/office/drawing/2014/main" id="{93E3E938-85F1-4F7D-B36F-765DC7680F41}"/>
            </a:ext>
          </a:extLst>
        </xdr:cNvPr>
        <xdr:cNvSpPr txBox="1"/>
      </xdr:nvSpPr>
      <xdr:spPr>
        <a:xfrm>
          <a:off x="103194" y="5564578"/>
          <a:ext cx="3802056" cy="31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46DDB25-D496-44A7-B219-32A97162C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B7FA7FF-68B5-43C8-A534-86657F55ECA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21</xdr:row>
      <xdr:rowOff>0</xdr:rowOff>
    </xdr:from>
    <xdr:to>
      <xdr:col>44</xdr:col>
      <xdr:colOff>0</xdr:colOff>
      <xdr:row>21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344617-EFE5-4A75-9E42-514C5C4AFBD7}"/>
            </a:ext>
          </a:extLst>
        </xdr:cNvPr>
        <xdr:cNvCxnSpPr/>
      </xdr:nvCxnSpPr>
      <xdr:spPr>
        <a:xfrm flipV="1">
          <a:off x="363855" y="4524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4C9F1F7-D36F-42FF-A4E8-D5C419B416C3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56901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E1556A0-6DD2-45A0-827B-CCC832750028}"/>
            </a:ext>
          </a:extLst>
        </xdr:cNvPr>
        <xdr:cNvSpPr txBox="1"/>
      </xdr:nvSpPr>
      <xdr:spPr>
        <a:xfrm>
          <a:off x="2322902" y="5550772"/>
          <a:ext cx="3587767" cy="156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085D5B-395F-471F-9A2A-184EFE75DCE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Landwirtschaft'!$C$1">
      <xdr:nvSpPr>
        <xdr:cNvPr id="4" name="Textfeld 3">
          <a:extLst>
            <a:ext uri="{FF2B5EF4-FFF2-40B4-BE49-F238E27FC236}">
              <a16:creationId xmlns:a16="http://schemas.microsoft.com/office/drawing/2014/main" id="{8492CBD2-7AB1-4970-8531-C39F51EE2B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Landwirtschaft'!$C$2">
      <xdr:nvSpPr>
        <xdr:cNvPr id="5" name="Textfeld 4">
          <a:extLst>
            <a:ext uri="{FF2B5EF4-FFF2-40B4-BE49-F238E27FC236}">
              <a16:creationId xmlns:a16="http://schemas.microsoft.com/office/drawing/2014/main" id="{1B39E0EE-7F45-4425-AB99-87A0B70961B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Landwirtschaft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FAF9336-0AC5-404A-9C60-8C649E6C77E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8DF0EF5-2072-4589-8E74-CAEDF90C9D8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AB6E065-F27C-4165-89ED-AA36BB46261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16C2795-D231-4457-9BE4-248DA9ACBE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4653895-4E28-4108-B6A1-142A2D9C560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128C119-1065-4147-9128-81ABAD35629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8746BDAE-7FD0-4231-9DAE-92ED8044F9B8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DFBEA6B-D01B-416F-A124-7CFF5D51253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418E84D-101E-4113-BAE1-E82211EB1349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13C7C86C-BE3F-4370-802C-6A92B6F55E2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98399</xdr:colOff>
      <xdr:row>3</xdr:row>
      <xdr:rowOff>166959</xdr:rowOff>
    </xdr:from>
    <xdr:to>
      <xdr:col>18</xdr:col>
      <xdr:colOff>98399</xdr:colOff>
      <xdr:row>18</xdr:row>
      <xdr:rowOff>1056978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6CE3F3-B9BA-49ED-8CFE-5DD3531594AD}"/>
            </a:ext>
          </a:extLst>
        </xdr:cNvPr>
        <xdr:cNvCxnSpPr/>
      </xdr:nvCxnSpPr>
      <xdr:spPr>
        <a:xfrm>
          <a:off x="9059226" y="921632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CF75D01-7177-46B9-8833-9C8E19C274A5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36518" cy="282308"/>
    <xdr:sp macro="" textlink="'Daten Sektor Landwirtschaft'!C4">
      <xdr:nvSpPr>
        <xdr:cNvPr id="18" name="Textfeld 17">
          <a:extLst>
            <a:ext uri="{FF2B5EF4-FFF2-40B4-BE49-F238E27FC236}">
              <a16:creationId xmlns:a16="http://schemas.microsoft.com/office/drawing/2014/main" id="{61E3D524-98CE-4066-A315-774420D85CF5}"/>
            </a:ext>
          </a:extLst>
        </xdr:cNvPr>
        <xdr:cNvSpPr txBox="1"/>
      </xdr:nvSpPr>
      <xdr:spPr>
        <a:xfrm>
          <a:off x="103194" y="5564578"/>
          <a:ext cx="4036518" cy="282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1B14330-B88B-43BF-8318-FC2DC7BB58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9FEB91E-0FEF-4DAF-94DD-AD7F48ED28BA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44CEB69-FF47-4338-ACFA-B76EFCF0D9E7}"/>
            </a:ext>
          </a:extLst>
        </xdr:cNvPr>
        <xdr:cNvCxnSpPr/>
      </xdr:nvCxnSpPr>
      <xdr:spPr>
        <a:xfrm flipV="1">
          <a:off x="360493" y="5188324"/>
          <a:ext cx="2007903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E751F41-7B62-4095-AFB3-43DBCE7AD2A6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3492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DF1BE6F9-2A14-4205-AD77-616022534A6D}"/>
            </a:ext>
          </a:extLst>
        </xdr:cNvPr>
        <xdr:cNvSpPr txBox="1"/>
      </xdr:nvSpPr>
      <xdr:spPr>
        <a:xfrm>
          <a:off x="2322902" y="5550773"/>
          <a:ext cx="3587767" cy="134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12.03.2026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37783-8D4A-4E70-994C-5D9AB8392EF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Abfallwirtschaft'!$C$1">
      <xdr:nvSpPr>
        <xdr:cNvPr id="4" name="Textfeld 3">
          <a:extLst>
            <a:ext uri="{FF2B5EF4-FFF2-40B4-BE49-F238E27FC236}">
              <a16:creationId xmlns:a16="http://schemas.microsoft.com/office/drawing/2014/main" id="{2A3CC9DC-C548-4D48-9503-62F91117B21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Abfallwirtschaft'!$C$2">
      <xdr:nvSpPr>
        <xdr:cNvPr id="5" name="Textfeld 4">
          <a:extLst>
            <a:ext uri="{FF2B5EF4-FFF2-40B4-BE49-F238E27FC236}">
              <a16:creationId xmlns:a16="http://schemas.microsoft.com/office/drawing/2014/main" id="{C97A969F-9A6F-4309-AFE3-FC0271947A6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Abfallwirtschaft und Sonstiges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E54937F-CAAF-4DEA-B112-E99BCFCEBA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E923946-5205-4E1E-9E87-60FDE0CE53D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5B9BB3C-32C6-40DD-AADA-A4CA3B26BBFD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1C5692D-C13E-4807-990A-B747EC51653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AEB8F3D-A945-4022-8598-19EBA7332598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D34193A-6CD7-44C1-8132-ADA2A0F1A509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6C0EBFC-3DC0-446C-9A61-2523F4516FB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72271C4-B204-472B-BD45-C32EFF52328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185E7705-C259-4BC8-971E-A145B265B25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E3BB351-8F52-4EF0-87CD-057E83E556D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105726</xdr:colOff>
      <xdr:row>3</xdr:row>
      <xdr:rowOff>159632</xdr:rowOff>
    </xdr:from>
    <xdr:to>
      <xdr:col>18</xdr:col>
      <xdr:colOff>105726</xdr:colOff>
      <xdr:row>18</xdr:row>
      <xdr:rowOff>1049651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F5361B9-B063-4E79-A142-25BA7B1494B7}"/>
            </a:ext>
          </a:extLst>
        </xdr:cNvPr>
        <xdr:cNvCxnSpPr/>
      </xdr:nvCxnSpPr>
      <xdr:spPr>
        <a:xfrm>
          <a:off x="9066553" y="914305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1503FCE-76DD-4A15-B463-27D82EB0958A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4014537" cy="260327"/>
    <xdr:sp macro="" textlink="'Daten Sektor Abfallwirtschaft'!C4">
      <xdr:nvSpPr>
        <xdr:cNvPr id="18" name="Textfeld 17">
          <a:extLst>
            <a:ext uri="{FF2B5EF4-FFF2-40B4-BE49-F238E27FC236}">
              <a16:creationId xmlns:a16="http://schemas.microsoft.com/office/drawing/2014/main" id="{3FF1470C-376C-43D4-99CD-BAEB92A54E8E}"/>
            </a:ext>
          </a:extLst>
        </xdr:cNvPr>
        <xdr:cNvSpPr txBox="1"/>
      </xdr:nvSpPr>
      <xdr:spPr>
        <a:xfrm>
          <a:off x="103194" y="5564577"/>
          <a:ext cx="4014537" cy="260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63E04DE-ED7A-4339-B5D0-9068AFB35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2BC556CD-65B7-454C-AB85-8BD264C15555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14</xdr:col>
      <xdr:colOff>0</xdr:colOff>
      <xdr:row>1</xdr:row>
      <xdr:rowOff>161925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9749E059-7BED-4A91-BACE-5093513DF995}"/>
            </a:ext>
          </a:extLst>
        </xdr:cNvPr>
        <xdr:cNvCxnSpPr/>
      </xdr:nvCxnSpPr>
      <xdr:spPr>
        <a:xfrm>
          <a:off x="361950" y="0"/>
          <a:ext cx="78676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351155</xdr:colOff>
      <xdr:row>18</xdr:row>
      <xdr:rowOff>0</xdr:rowOff>
    </xdr:from>
    <xdr:to>
      <xdr:col>42</xdr:col>
      <xdr:colOff>3025</xdr:colOff>
      <xdr:row>18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51155" y="4343400"/>
          <a:ext cx="1135809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41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351154</xdr:colOff>
      <xdr:row>42</xdr:row>
      <xdr:rowOff>0</xdr:rowOff>
    </xdr:from>
    <xdr:to>
      <xdr:col>39</xdr:col>
      <xdr:colOff>3024</xdr:colOff>
      <xdr:row>42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E7149209-7368-4721-B4F8-99353A006E08}"/>
            </a:ext>
          </a:extLst>
        </xdr:cNvPr>
        <xdr:cNvCxnSpPr/>
      </xdr:nvCxnSpPr>
      <xdr:spPr>
        <a:xfrm>
          <a:off x="351154" y="9591675"/>
          <a:ext cx="9729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161925</xdr:rowOff>
    </xdr:from>
    <xdr:to>
      <xdr:col>39</xdr:col>
      <xdr:colOff>0</xdr:colOff>
      <xdr:row>19</xdr:row>
      <xdr:rowOff>161925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F52A1D52-871D-4511-B3D4-B85D47AD7D5C}"/>
            </a:ext>
          </a:extLst>
        </xdr:cNvPr>
        <xdr:cNvCxnSpPr/>
      </xdr:nvCxnSpPr>
      <xdr:spPr>
        <a:xfrm>
          <a:off x="361950" y="352425"/>
          <a:ext cx="9715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369298" y="13090071"/>
          <a:ext cx="17428845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7393" y="352425"/>
          <a:ext cx="29813250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53</xdr:row>
      <xdr:rowOff>235401</xdr:rowOff>
    </xdr:from>
    <xdr:to>
      <xdr:col>38</xdr:col>
      <xdr:colOff>0</xdr:colOff>
      <xdr:row>54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69298" y="13080544"/>
          <a:ext cx="17428845" cy="952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1827439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2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9298" y="13090073"/>
          <a:ext cx="188712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1887310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2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369298" y="13090073"/>
          <a:ext cx="1888480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18886714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551E2E4B-09DB-405D-B48A-E68515784C0B}"/>
            </a:ext>
          </a:extLst>
        </xdr:cNvPr>
        <xdr:cNvCxnSpPr/>
      </xdr:nvCxnSpPr>
      <xdr:spPr>
        <a:xfrm flipV="1">
          <a:off x="369298" y="13090071"/>
          <a:ext cx="188712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B775DD4-299B-4206-A604-CF167BA25172}"/>
            </a:ext>
          </a:extLst>
        </xdr:cNvPr>
        <xdr:cNvCxnSpPr/>
      </xdr:nvCxnSpPr>
      <xdr:spPr>
        <a:xfrm>
          <a:off x="367393" y="352425"/>
          <a:ext cx="18274393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43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570312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4" width="10.85546875" style="87" customWidth="1"/>
    <col min="35" max="38" width="10.85546875" style="149" customWidth="1"/>
    <col min="39" max="16384" width="11.42578125" style="2"/>
  </cols>
  <sheetData>
    <row r="2" spans="2:38" ht="14.25" customHeight="1">
      <c r="B2" s="1"/>
    </row>
    <row r="3" spans="2:38" ht="22.5" customHeight="1">
      <c r="B3" s="3" t="s">
        <v>26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8">
        <v>43831</v>
      </c>
      <c r="AH4" s="8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41"/>
      <c r="AH5" s="26"/>
      <c r="AI5" s="165"/>
      <c r="AJ5" s="165"/>
      <c r="AK5" s="165"/>
      <c r="AL5" s="165"/>
    </row>
    <row r="6" spans="2:38" s="10" customFormat="1" ht="18.75" customHeight="1">
      <c r="B6" s="24" t="s">
        <v>22</v>
      </c>
      <c r="C6" s="30">
        <f>THG!C6/THG!$C6-1</f>
        <v>0</v>
      </c>
      <c r="D6" s="30">
        <f>THG!D6/THG!$C6-1</f>
        <v>-3.7295160961836493E-2</v>
      </c>
      <c r="E6" s="30">
        <f>THG!E6/THG!$C6-1</f>
        <v>-7.5930719355610465E-2</v>
      </c>
      <c r="F6" s="30">
        <f>THG!F6/THG!$C6-1</f>
        <v>-8.3507295941798509E-2</v>
      </c>
      <c r="G6" s="30">
        <f>THG!G6/THG!$C6-1</f>
        <v>-9.7606934206614482E-2</v>
      </c>
      <c r="H6" s="30">
        <f>THG!H6/THG!$C6-1</f>
        <v>-0.10352003356888573</v>
      </c>
      <c r="I6" s="30">
        <f>THG!I6/THG!$C6-1</f>
        <v>-9.0116891608561289E-2</v>
      </c>
      <c r="J6" s="30">
        <f>THG!J6/THG!$C6-1</f>
        <v>-0.11838005209009916</v>
      </c>
      <c r="K6" s="30">
        <f>THG!K6/THG!$C6-1</f>
        <v>-0.1381705723896649</v>
      </c>
      <c r="L6" s="30">
        <f>THG!L6/THG!$C6-1</f>
        <v>-0.16565778034570255</v>
      </c>
      <c r="M6" s="30">
        <f>THG!M6/THG!$C6-1</f>
        <v>-0.16768415668063275</v>
      </c>
      <c r="N6" s="30">
        <f>THG!N6/THG!$C6-1</f>
        <v>-0.15644497860508877</v>
      </c>
      <c r="O6" s="30">
        <f>THG!O6/THG!$C6-1</f>
        <v>-0.17274367363325904</v>
      </c>
      <c r="P6" s="30">
        <f>THG!P6/THG!$C6-1</f>
        <v>-0.17762684690820463</v>
      </c>
      <c r="Q6" s="30">
        <f>THG!Q6/THG!$C6-1</f>
        <v>-0.19347712914421111</v>
      </c>
      <c r="R6" s="30">
        <f>THG!R6/THG!$C6-1</f>
        <v>-0.21081680737939346</v>
      </c>
      <c r="S6" s="30">
        <f>THG!S6/THG!$C6-1</f>
        <v>-0.20040165628880824</v>
      </c>
      <c r="T6" s="30">
        <f>THG!T6/THG!$C6-1</f>
        <v>-0.23111532266952906</v>
      </c>
      <c r="U6" s="30">
        <f>THG!U6/THG!$C6-1</f>
        <v>-0.22998674041992395</v>
      </c>
      <c r="V6" s="30">
        <f>THG!V6/THG!$C6-1</f>
        <v>-0.28077211935559221</v>
      </c>
      <c r="W6" s="30">
        <f>THG!W6/THG!$C6-1</f>
        <v>-0.25526363948040853</v>
      </c>
      <c r="X6" s="30">
        <f>THG!X6/THG!$C6-1</f>
        <v>-0.27572023235526888</v>
      </c>
      <c r="Y6" s="30">
        <f>THG!Y6/THG!$C6-1</f>
        <v>-0.26827471339007258</v>
      </c>
      <c r="Z6" s="30">
        <f>THG!Z6/THG!$C6-1</f>
        <v>-0.25258209095420325</v>
      </c>
      <c r="AA6" s="30">
        <f>THG!AA6/THG!$C6-1</f>
        <v>-0.28560216952633422</v>
      </c>
      <c r="AB6" s="30">
        <f>THG!AB6/THG!$C6-1</f>
        <v>-0.28290987711125848</v>
      </c>
      <c r="AC6" s="30">
        <f>THG!AC6/THG!$C6-1</f>
        <v>-0.28257115486270556</v>
      </c>
      <c r="AD6" s="30">
        <f>THG!AD6/THG!$C6-1</f>
        <v>-0.2927459759697647</v>
      </c>
      <c r="AE6" s="30">
        <f>THG!AE6/THG!$C6-1</f>
        <v>-0.32158960925541147</v>
      </c>
      <c r="AF6" s="30">
        <f>THG!AF6/THG!$C6-1</f>
        <v>-0.3631930810145082</v>
      </c>
      <c r="AG6" s="30">
        <f>THG!AG6/THG!$C6-1</f>
        <v>-0.41668176009053037</v>
      </c>
      <c r="AH6" s="30">
        <f>THG!AH6/THG!$C6-1</f>
        <v>-0.39130502495004793</v>
      </c>
      <c r="AI6" s="30">
        <f>THG!AI6/THG!$C6-1</f>
        <v>-0.40208304894338043</v>
      </c>
      <c r="AJ6" s="30">
        <f>THG!AJ6/THG!$C6-1</f>
        <v>-0.46567437313574545</v>
      </c>
      <c r="AK6" s="30">
        <f>THG!AK6/THG!$C6-1</f>
        <v>-0.48148189109404471</v>
      </c>
      <c r="AL6" s="30">
        <f>THG!AL6/THG!$C6-1</f>
        <v>-0.48220239356619021</v>
      </c>
    </row>
    <row r="7" spans="2:38" s="10" customFormat="1" ht="18.75" customHeight="1">
      <c r="B7" s="22" t="s">
        <v>23</v>
      </c>
      <c r="C7" s="31">
        <f>THG!C7/THG!$C7-1</f>
        <v>0</v>
      </c>
      <c r="D7" s="31">
        <f>THG!D7/THG!$C7-1</f>
        <v>-8.4376869634959939E-2</v>
      </c>
      <c r="E7" s="31">
        <f>THG!E7/THG!$C7-1</f>
        <v>-0.11347138113097566</v>
      </c>
      <c r="F7" s="31">
        <f>THG!F7/THG!$C7-1</f>
        <v>-0.13225337442910567</v>
      </c>
      <c r="G7" s="31">
        <f>THG!G7/THG!$C7-1</f>
        <v>-0.13176530865671365</v>
      </c>
      <c r="H7" s="31">
        <f>THG!H7/THG!$C7-1</f>
        <v>-0.13192710121856543</v>
      </c>
      <c r="I7" s="31">
        <f>THG!I7/THG!$C7-1</f>
        <v>-0.13223425401348921</v>
      </c>
      <c r="J7" s="31">
        <f>THG!J7/THG!$C7-1</f>
        <v>-0.15001715497206558</v>
      </c>
      <c r="K7" s="31">
        <f>THG!K7/THG!$C7-1</f>
        <v>-0.17199316125428898</v>
      </c>
      <c r="L7" s="31">
        <f>THG!L7/THG!$C7-1</f>
        <v>-0.19770756885468999</v>
      </c>
      <c r="M7" s="31">
        <f>THG!M7/THG!$C7-1</f>
        <v>-0.18524381211927354</v>
      </c>
      <c r="N7" s="31">
        <f>THG!N7/THG!$C7-1</f>
        <v>-0.19750010846742416</v>
      </c>
      <c r="O7" s="31">
        <f>THG!O7/THG!$C7-1</f>
        <v>-0.19967268293603746</v>
      </c>
      <c r="P7" s="31">
        <f>THG!P7/THG!$C7-1</f>
        <v>-0.19247502052026333</v>
      </c>
      <c r="Q7" s="31">
        <f>THG!Q7/THG!$C7-1</f>
        <v>-0.20586829073271362</v>
      </c>
      <c r="R7" s="31">
        <f>THG!R7/THG!$C7-1</f>
        <v>-0.22439500962026526</v>
      </c>
      <c r="S7" s="31">
        <f>THG!S7/THG!$C7-1</f>
        <v>-0.20815211226271557</v>
      </c>
      <c r="T7" s="31">
        <f>THG!T7/THG!$C7-1</f>
        <v>-0.23592471848676622</v>
      </c>
      <c r="U7" s="31">
        <f>THG!U7/THG!$C7-1</f>
        <v>-0.25344791700310076</v>
      </c>
      <c r="V7" s="31">
        <f>THG!V7/THG!$C7-1</f>
        <v>-0.29894159240558416</v>
      </c>
      <c r="W7" s="31">
        <f>THG!W7/THG!$C7-1</f>
        <v>-0.26756753316860227</v>
      </c>
      <c r="X7" s="31">
        <f>THG!X7/THG!$C7-1</f>
        <v>-0.28811448539354778</v>
      </c>
      <c r="Y7" s="31">
        <f>THG!Y7/THG!$C7-1</f>
        <v>-0.2906901978659937</v>
      </c>
      <c r="Z7" s="31">
        <f>THG!Z7/THG!$C7-1</f>
        <v>-0.27026599519999694</v>
      </c>
      <c r="AA7" s="31">
        <f>THG!AA7/THG!$C7-1</f>
        <v>-0.29544601206314713</v>
      </c>
      <c r="AB7" s="31">
        <f>THG!AB7/THG!$C7-1</f>
        <v>-0.2980938492916827</v>
      </c>
      <c r="AC7" s="31">
        <f>THG!AC7/THG!$C7-1</f>
        <v>-0.29402129522989695</v>
      </c>
      <c r="AD7" s="31">
        <f>THG!AD7/THG!$C7-1</f>
        <v>-0.30207820209086156</v>
      </c>
      <c r="AE7" s="31">
        <f>THG!AE7/THG!$C7-1</f>
        <v>-0.29566998495307451</v>
      </c>
      <c r="AF7" s="31">
        <f>THG!AF7/THG!$C7-1</f>
        <v>-0.34934151594675444</v>
      </c>
      <c r="AG7" s="31">
        <f>THG!AG7/THG!$C7-1</f>
        <v>-0.39624320989248962</v>
      </c>
      <c r="AH7" s="31">
        <f>THG!AH7/THG!$C7-1</f>
        <v>-0.37367626813423072</v>
      </c>
      <c r="AI7" s="31">
        <f>THG!AI7/THG!$C7-1</f>
        <v>-0.37434000132232659</v>
      </c>
      <c r="AJ7" s="31">
        <f>THG!AJ7/THG!$C7-1</f>
        <v>-0.42397971933642442</v>
      </c>
      <c r="AK7" s="31">
        <f>THG!AK7/THG!$C7-1</f>
        <v>-0.45130594313174421</v>
      </c>
      <c r="AL7" s="31">
        <f>THG!AL7/THG!$C7-1</f>
        <v>-0.47603149296503955</v>
      </c>
    </row>
    <row r="8" spans="2:38" ht="18.75" customHeight="1">
      <c r="B8" s="1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91"/>
      <c r="AH8" s="91"/>
      <c r="AI8" s="91"/>
      <c r="AJ8" s="91"/>
      <c r="AK8" s="91"/>
      <c r="AL8" s="91"/>
    </row>
    <row r="9" spans="2:38" s="10" customFormat="1" ht="18.75" customHeight="1">
      <c r="B9" s="5" t="s">
        <v>8</v>
      </c>
      <c r="C9" s="31">
        <f>THG!C9/THG!$C9-1</f>
        <v>0</v>
      </c>
      <c r="D9" s="31">
        <f>THG!D9/THG!$C9-1</f>
        <v>-3.122963534050871E-2</v>
      </c>
      <c r="E9" s="31">
        <f>THG!E9/THG!$C9-1</f>
        <v>-8.2347988524652638E-2</v>
      </c>
      <c r="F9" s="31">
        <f>THG!F9/THG!$C9-1</f>
        <v>-0.10288400170116951</v>
      </c>
      <c r="G9" s="31">
        <f>THG!G9/THG!$C9-1</f>
        <v>-0.11533354331364143</v>
      </c>
      <c r="H9" s="31">
        <f>THG!H9/THG!$C9-1</f>
        <v>-0.14287977267458796</v>
      </c>
      <c r="I9" s="31">
        <f>THG!I9/THG!$C9-1</f>
        <v>-0.13037667019766563</v>
      </c>
      <c r="J9" s="31">
        <f>THG!J9/THG!$C9-1</f>
        <v>-0.17642587538158094</v>
      </c>
      <c r="K9" s="31">
        <f>THG!K9/THG!$C9-1</f>
        <v>-0.17653025006250522</v>
      </c>
      <c r="L9" s="31">
        <f>THG!L9/THG!$C9-1</f>
        <v>-0.19963945003221129</v>
      </c>
      <c r="M9" s="31">
        <f>THG!M9/THG!$C9-1</f>
        <v>-0.17677463071733979</v>
      </c>
      <c r="N9" s="31">
        <f>THG!N9/THG!$C9-1</f>
        <v>-0.15571695692844467</v>
      </c>
      <c r="O9" s="31">
        <f>THG!O9/THG!$C9-1</f>
        <v>-0.15547502329492846</v>
      </c>
      <c r="P9" s="31">
        <f>THG!P9/THG!$C9-1</f>
        <v>-0.12173968656140477</v>
      </c>
      <c r="Q9" s="31">
        <f>THG!Q9/THG!$C9-1</f>
        <v>-0.13307413550969016</v>
      </c>
      <c r="R9" s="31">
        <f>THG!R9/THG!$C9-1</f>
        <v>-0.15201232155083788</v>
      </c>
      <c r="S9" s="31">
        <f>THG!S9/THG!$C9-1</f>
        <v>-0.15091293148157736</v>
      </c>
      <c r="T9" s="31">
        <f>THG!T9/THG!$C9-1</f>
        <v>-0.14532595004328919</v>
      </c>
      <c r="U9" s="31">
        <f>THG!U9/THG!$C9-1</f>
        <v>-0.1827309984933666</v>
      </c>
      <c r="V9" s="31">
        <f>THG!V9/THG!$C9-1</f>
        <v>-0.23742584379139287</v>
      </c>
      <c r="W9" s="31">
        <f>THG!W9/THG!$C9-1</f>
        <v>-0.21523382212484377</v>
      </c>
      <c r="X9" s="31">
        <f>THG!X9/THG!$C9-1</f>
        <v>-0.22503186312855306</v>
      </c>
      <c r="Y9" s="31">
        <f>THG!Y9/THG!$C9-1</f>
        <v>-0.20007891714378034</v>
      </c>
      <c r="Z9" s="31">
        <f>THG!Z9/THG!$C9-1</f>
        <v>-0.19042296570748996</v>
      </c>
      <c r="AA9" s="31">
        <f>THG!AA9/THG!$C9-1</f>
        <v>-0.23538365663340699</v>
      </c>
      <c r="AB9" s="31">
        <f>THG!AB9/THG!$C9-1</f>
        <v>-0.25924744980519743</v>
      </c>
      <c r="AC9" s="31">
        <f>THG!AC9/THG!$C9-1</f>
        <v>-0.27041789215259904</v>
      </c>
      <c r="AD9" s="31">
        <f>THG!AD9/THG!$C9-1</f>
        <v>-0.31155818663336765</v>
      </c>
      <c r="AE9" s="31">
        <f>THG!AE9/THG!$C9-1</f>
        <v>-0.34347668011493249</v>
      </c>
      <c r="AF9" s="31">
        <f>THG!AF9/THG!$C9-1</f>
        <v>-0.45410641412556807</v>
      </c>
      <c r="AG9" s="31">
        <f>THG!AG9/THG!$C9-1</f>
        <v>-0.5364238376077447</v>
      </c>
      <c r="AH9" s="31">
        <f>THG!AH9/THG!$C9-1</f>
        <v>-0.47810743466046646</v>
      </c>
      <c r="AI9" s="31">
        <f>THG!AI9/THG!$C9-1</f>
        <v>-0.45644371821127816</v>
      </c>
      <c r="AJ9" s="31">
        <f>THG!AJ9/THG!$C9-1</f>
        <v>-0.56857856721977296</v>
      </c>
      <c r="AK9" s="31">
        <f>THG!AK9/THG!$C9-1</f>
        <v>-0.60044679865296313</v>
      </c>
      <c r="AL9" s="31">
        <f>THG!AL9/THG!$C9-1</f>
        <v>-0.60173295832371654</v>
      </c>
    </row>
    <row r="10" spans="2:38" ht="18.75" customHeight="1">
      <c r="B10" s="17" t="s">
        <v>0</v>
      </c>
      <c r="C10" s="32">
        <f>THG!C10/THG!$C10-1</f>
        <v>0</v>
      </c>
      <c r="D10" s="32">
        <f>THG!D10/THG!$C10-1</f>
        <v>-3.2113406250950605E-2</v>
      </c>
      <c r="E10" s="32">
        <f>THG!E10/THG!$C10-1</f>
        <v>-8.2437305745082012E-2</v>
      </c>
      <c r="F10" s="32">
        <f>THG!F10/THG!$C10-1</f>
        <v>-0.10816906340565124</v>
      </c>
      <c r="G10" s="32">
        <f>THG!G10/THG!$C10-1</f>
        <v>-0.1139484385388605</v>
      </c>
      <c r="H10" s="32">
        <f>THG!H10/THG!$C10-1</f>
        <v>-0.14125082697082536</v>
      </c>
      <c r="I10" s="32">
        <f>THG!I10/THG!$C10-1</f>
        <v>-0.12534297775797842</v>
      </c>
      <c r="J10" s="32">
        <f>THG!J10/THG!$C10-1</f>
        <v>-0.17424436880063965</v>
      </c>
      <c r="K10" s="32">
        <f>THG!K10/THG!$C10-1</f>
        <v>-0.16753443346791164</v>
      </c>
      <c r="L10" s="32">
        <f>THG!L10/THG!$C10-1</f>
        <v>-0.19559459093246112</v>
      </c>
      <c r="M10" s="32">
        <f>THG!M10/THG!$C10-1</f>
        <v>-0.16537975916250813</v>
      </c>
      <c r="N10" s="32">
        <f>THG!N10/THG!$C10-1</f>
        <v>-0.13620060615956786</v>
      </c>
      <c r="O10" s="32">
        <f>THG!O10/THG!$C10-1</f>
        <v>-0.13289160703242953</v>
      </c>
      <c r="P10" s="32">
        <f>THG!P10/THG!$C10-1</f>
        <v>-9.0606514173484087E-2</v>
      </c>
      <c r="Q10" s="32">
        <f>THG!Q10/THG!$C10-1</f>
        <v>-9.58612002075101E-2</v>
      </c>
      <c r="R10" s="32">
        <f>THG!R10/THG!$C10-1</f>
        <v>-0.11190780317017734</v>
      </c>
      <c r="S10" s="32">
        <f>THG!S10/THG!$C10-1</f>
        <v>-0.10650084329811149</v>
      </c>
      <c r="T10" s="32">
        <f>THG!T10/THG!$C10-1</f>
        <v>-9.5845556875593374E-2</v>
      </c>
      <c r="U10" s="32">
        <f>THG!U10/THG!$C10-1</f>
        <v>-0.13590701370658975</v>
      </c>
      <c r="V10" s="32">
        <f>THG!V10/THG!$C10-1</f>
        <v>-0.1916438508844347</v>
      </c>
      <c r="W10" s="32">
        <f>THG!W10/THG!$C10-1</f>
        <v>-0.16610601388069468</v>
      </c>
      <c r="X10" s="32">
        <f>THG!X10/THG!$C10-1</f>
        <v>-0.17597094260408008</v>
      </c>
      <c r="Y10" s="32">
        <f>THG!Y10/THG!$C10-1</f>
        <v>-0.14986848653250939</v>
      </c>
      <c r="Z10" s="32">
        <f>THG!Z10/THG!$C10-1</f>
        <v>-0.13777121361421574</v>
      </c>
      <c r="AA10" s="32">
        <f>THG!AA10/THG!$C10-1</f>
        <v>-0.18348484534546483</v>
      </c>
      <c r="AB10" s="32">
        <f>THG!AB10/THG!$C10-1</f>
        <v>-0.2094633098507378</v>
      </c>
      <c r="AC10" s="32">
        <f>THG!AC10/THG!$C10-1</f>
        <v>-0.21894110970312708</v>
      </c>
      <c r="AD10" s="32">
        <f>THG!AD10/THG!$C10-1</f>
        <v>-0.26380507720896318</v>
      </c>
      <c r="AE10" s="32">
        <f>THG!AE10/THG!$C10-1</f>
        <v>-0.29548564296320801</v>
      </c>
      <c r="AF10" s="32">
        <f>THG!AF10/THG!$C10-1</f>
        <v>-0.41250536352144629</v>
      </c>
      <c r="AG10" s="91">
        <f>THG!AG10/THG!$C10-1</f>
        <v>-0.50073627320358294</v>
      </c>
      <c r="AH10" s="91">
        <f>THG!AH10/THG!$C10-1</f>
        <v>-0.43646610714336342</v>
      </c>
      <c r="AI10" s="91">
        <f>THG!AI10/THG!$C10-1</f>
        <v>-0.41321437132110583</v>
      </c>
      <c r="AJ10" s="91">
        <f>THG!AJ10/THG!$C10-1</f>
        <v>-0.53538266893666142</v>
      </c>
      <c r="AK10" s="91">
        <f>THG!AK10/THG!$C10-1</f>
        <v>-0.56998123683852064</v>
      </c>
      <c r="AL10" s="91">
        <f>THG!AL10/THG!$C10-1</f>
        <v>-0.57157093908423662</v>
      </c>
    </row>
    <row r="11" spans="2:38" s="87" customFormat="1" ht="18.75" customHeight="1">
      <c r="B11" s="18" t="s">
        <v>2</v>
      </c>
      <c r="C11" s="33">
        <f>THG!C11/THG!$C11-1</f>
        <v>0</v>
      </c>
      <c r="D11" s="33">
        <f>THG!D11/THG!$C11-1</f>
        <v>5.1463722651062138E-2</v>
      </c>
      <c r="E11" s="33">
        <f>THG!E11/THG!$C11-1</f>
        <v>4.0061702487319995E-2</v>
      </c>
      <c r="F11" s="33">
        <f>THG!F11/THG!$C11-1</f>
        <v>0.10000630574214475</v>
      </c>
      <c r="G11" s="33">
        <f>THG!G11/THG!$C11-1</f>
        <v>0.11973673909158777</v>
      </c>
      <c r="H11" s="33">
        <f>THG!H11/THG!$C11-1</f>
        <v>0.22194183307400484</v>
      </c>
      <c r="I11" s="33">
        <f>THG!I11/THG!$C11-1</f>
        <v>0.36699836959750076</v>
      </c>
      <c r="J11" s="33">
        <f>THG!J11/THG!$C11-1</f>
        <v>0.30563568131691987</v>
      </c>
      <c r="K11" s="33">
        <f>THG!K11/THG!$C11-1</f>
        <v>0.31576066569725336</v>
      </c>
      <c r="L11" s="33">
        <f>THG!L11/THG!$C11-1</f>
        <v>0.31086695987323232</v>
      </c>
      <c r="M11" s="33">
        <f>THG!M11/THG!$C11-1</f>
        <v>0.29879087249155023</v>
      </c>
      <c r="N11" s="33">
        <f>THG!N11/THG!$C11-1</f>
        <v>0.37015612849232626</v>
      </c>
      <c r="O11" s="33">
        <f>THG!O11/THG!$C11-1</f>
        <v>0.47172208949189631</v>
      </c>
      <c r="P11" s="33">
        <f>THG!P11/THG!$C11-1</f>
        <v>0.38346271006302235</v>
      </c>
      <c r="Q11" s="33">
        <f>THG!Q11/THG!$C11-1</f>
        <v>0.39316897991940403</v>
      </c>
      <c r="R11" s="33">
        <f>THG!R11/THG!$C11-1</f>
        <v>0.36172105486030848</v>
      </c>
      <c r="S11" s="33">
        <f>THG!S11/THG!$C11-1</f>
        <v>0.53624823479750283</v>
      </c>
      <c r="T11" s="33">
        <f>THG!T11/THG!$C11-1</f>
        <v>0.25401331384872172</v>
      </c>
      <c r="U11" s="33">
        <f>THG!U11/THG!$C11-1</f>
        <v>0.31739188918024808</v>
      </c>
      <c r="V11" s="33">
        <f>THG!V11/THG!$C11-1</f>
        <v>0.24258869566052876</v>
      </c>
      <c r="W11" s="33">
        <f>THG!W11/THG!$C11-1</f>
        <v>8.0766380977935537E-2</v>
      </c>
      <c r="X11" s="33">
        <f>THG!X11/THG!$C11-1</f>
        <v>0.12816359427918056</v>
      </c>
      <c r="Y11" s="33">
        <f>THG!Y11/THG!$C11-1</f>
        <v>0.13648823920220754</v>
      </c>
      <c r="Z11" s="33">
        <f>THG!Z11/THG!$C11-1</f>
        <v>0.35122200784937863</v>
      </c>
      <c r="AA11" s="33">
        <f>THG!AA11/THG!$C11-1</f>
        <v>9.8676461956592965E-2</v>
      </c>
      <c r="AB11" s="33">
        <f>THG!AB11/THG!$C11-1</f>
        <v>0.13172968523899486</v>
      </c>
      <c r="AC11" s="33">
        <f>THG!AC11/THG!$C11-1</f>
        <v>-3.8064860982707116E-2</v>
      </c>
      <c r="AD11" s="33">
        <f>THG!AD11/THG!$C11-1</f>
        <v>0.15075051597227729</v>
      </c>
      <c r="AE11" s="33">
        <f>THG!AE11/THG!$C11-1</f>
        <v>0.22219230825297442</v>
      </c>
      <c r="AF11" s="33">
        <f>THG!AF11/THG!$C11-1</f>
        <v>9.7808035917339886E-2</v>
      </c>
      <c r="AG11" s="33">
        <f>THG!AG11/THG!$C11-1</f>
        <v>-0.29436510581103403</v>
      </c>
      <c r="AH11" s="33">
        <f>THG!AH11/THG!$C11-1</f>
        <v>-0.23125206022929112</v>
      </c>
      <c r="AI11" s="33">
        <f>THG!AI11/THG!$C11-1</f>
        <v>0.22074285731387122</v>
      </c>
      <c r="AJ11" s="33">
        <f>THG!AJ11/THG!$C11-1</f>
        <v>-0.13953058829847087</v>
      </c>
      <c r="AK11" s="33">
        <f>THG!AK11/THG!$C11-1</f>
        <v>-0.37953066678869984</v>
      </c>
      <c r="AL11" s="33">
        <f>THG!AL11/THG!$C11-1</f>
        <v>-0.3001101908712821</v>
      </c>
    </row>
    <row r="12" spans="2:38" s="87" customFormat="1" ht="18.75" customHeight="1">
      <c r="B12" s="89" t="s">
        <v>1</v>
      </c>
      <c r="C12" s="91">
        <f>THG!C12/THG!$C12-1</f>
        <v>0</v>
      </c>
      <c r="D12" s="91">
        <f>THG!D12/THG!$C12-1</f>
        <v>-2.4424524893980282E-2</v>
      </c>
      <c r="E12" s="91">
        <f>THG!E12/THG!$C12-1</f>
        <v>-8.4611454926032836E-2</v>
      </c>
      <c r="F12" s="91">
        <f>THG!F12/THG!$C12-1</f>
        <v>-5.4642464044662997E-2</v>
      </c>
      <c r="G12" s="91">
        <f>THG!G12/THG!$C12-1</f>
        <v>-0.13543523113711398</v>
      </c>
      <c r="H12" s="91">
        <f>THG!H12/THG!$C12-1</f>
        <v>-0.16880688143489675</v>
      </c>
      <c r="I12" s="91">
        <f>THG!I12/THG!$C12-1</f>
        <v>-0.19419407955502999</v>
      </c>
      <c r="J12" s="91">
        <f>THG!J12/THG!$C12-1</f>
        <v>-0.21097929823567996</v>
      </c>
      <c r="K12" s="91">
        <f>THG!K12/THG!$C12-1</f>
        <v>-0.28031782008190897</v>
      </c>
      <c r="L12" s="91">
        <f>THG!L12/THG!$C12-1</f>
        <v>-0.25378839990122148</v>
      </c>
      <c r="M12" s="91">
        <f>THG!M12/THG!$C12-1</f>
        <v>-0.30441089073409422</v>
      </c>
      <c r="N12" s="91">
        <f>THG!N12/THG!$C12-1</f>
        <v>-0.36685463590442857</v>
      </c>
      <c r="O12" s="91">
        <f>THG!O12/THG!$C12-1</f>
        <v>-0.4002771494972357</v>
      </c>
      <c r="P12" s="91">
        <f>THG!P12/THG!$C12-1</f>
        <v>-0.44991944716966048</v>
      </c>
      <c r="Q12" s="91">
        <f>THG!Q12/THG!$C12-1</f>
        <v>-0.52333325025946276</v>
      </c>
      <c r="R12" s="91">
        <f>THG!R12/THG!$C12-1</f>
        <v>-0.57121421964891428</v>
      </c>
      <c r="S12" s="91">
        <f>THG!S12/THG!$C12-1</f>
        <v>-0.61820050741272381</v>
      </c>
      <c r="T12" s="91">
        <f>THG!T12/THG!$C12-1</f>
        <v>-0.65646352328879942</v>
      </c>
      <c r="U12" s="91">
        <f>THG!U12/THG!$C12-1</f>
        <v>-0.66959022700371362</v>
      </c>
      <c r="V12" s="91">
        <f>THG!V12/THG!$C12-1</f>
        <v>-0.71321847097315716</v>
      </c>
      <c r="W12" s="91">
        <f>THG!W12/THG!$C12-1</f>
        <v>-0.72012879039833444</v>
      </c>
      <c r="X12" s="91">
        <f>THG!X12/THG!$C12-1</f>
        <v>-0.7307298257723267</v>
      </c>
      <c r="Y12" s="91">
        <f>THG!Y12/THG!$C12-1</f>
        <v>-0.71698110507562962</v>
      </c>
      <c r="Z12" s="91">
        <f>THG!Z12/THG!$C12-1</f>
        <v>-0.73734100877671849</v>
      </c>
      <c r="AA12" s="91">
        <f>THG!AA12/THG!$C12-1</f>
        <v>-0.76930952451640688</v>
      </c>
      <c r="AB12" s="91">
        <f>THG!AB12/THG!$C12-1</f>
        <v>-0.7732429472257345</v>
      </c>
      <c r="AC12" s="91">
        <f>THG!AC12/THG!$C12-1</f>
        <v>-0.79744052354284967</v>
      </c>
      <c r="AD12" s="91">
        <f>THG!AD12/THG!$C12-1</f>
        <v>-0.80684285504804709</v>
      </c>
      <c r="AE12" s="91">
        <f>THG!AE12/THG!$C12-1</f>
        <v>-0.84384402659711311</v>
      </c>
      <c r="AF12" s="91">
        <f>THG!AF12/THG!$C12-1</f>
        <v>-0.88944308718535825</v>
      </c>
      <c r="AG12" s="91">
        <f>THG!AG12/THG!$C12-1</f>
        <v>-0.90389071846327784</v>
      </c>
      <c r="AH12" s="91">
        <f>THG!AH12/THG!$C12-1</f>
        <v>-0.90595806072313056</v>
      </c>
      <c r="AI12" s="91">
        <f>THG!AI12/THG!$C12-1</f>
        <v>-0.9115023512238104</v>
      </c>
      <c r="AJ12" s="91">
        <f>THG!AJ12/THG!$C12-1</f>
        <v>-0.91566515815403304</v>
      </c>
      <c r="AK12" s="91">
        <f>THG!AK12/THG!$C12-1</f>
        <v>-0.91451331054636009</v>
      </c>
      <c r="AL12" s="91">
        <f>THG!AL12/THG!$C12-1</f>
        <v>-0.91481559742554652</v>
      </c>
    </row>
    <row r="13" spans="2:38" s="10" customFormat="1" ht="18.75" customHeight="1">
      <c r="B13" s="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spans="2:38" s="10" customFormat="1" ht="18.75" customHeight="1">
      <c r="B14" s="6" t="s">
        <v>9</v>
      </c>
      <c r="C14" s="30">
        <f>THG!C14/THG!$C14-1</f>
        <v>0</v>
      </c>
      <c r="D14" s="30">
        <f>THG!D14/THG!$C14-1</f>
        <v>-9.1222909955634757E-2</v>
      </c>
      <c r="E14" s="30">
        <f>THG!E14/THG!$C14-1</f>
        <v>-0.13195698822173774</v>
      </c>
      <c r="F14" s="30">
        <f>THG!F14/THG!$C14-1</f>
        <v>-0.16697230005274699</v>
      </c>
      <c r="G14" s="30">
        <f>THG!G14/THG!$C14-1</f>
        <v>-0.1541591033080506</v>
      </c>
      <c r="H14" s="30">
        <f>THG!H14/THG!$C14-1</f>
        <v>-0.1473862535206153</v>
      </c>
      <c r="I14" s="30">
        <f>THG!I14/THG!$C14-1</f>
        <v>-0.18775550862995505</v>
      </c>
      <c r="J14" s="30">
        <f>THG!J14/THG!$C14-1</f>
        <v>-0.17135734959904236</v>
      </c>
      <c r="K14" s="30">
        <f>THG!K14/THG!$C14-1</f>
        <v>-0.2325051296824493</v>
      </c>
      <c r="L14" s="30">
        <f>THG!L14/THG!$C14-1</f>
        <v>-0.26884381028924242</v>
      </c>
      <c r="M14" s="30">
        <f>THG!M14/THG!$C14-1</f>
        <v>-0.27066572697162505</v>
      </c>
      <c r="N14" s="30">
        <f>THG!N14/THG!$C14-1</f>
        <v>-0.3086341077356497</v>
      </c>
      <c r="O14" s="30">
        <f>THG!O14/THG!$C14-1</f>
        <v>-0.31659385931526629</v>
      </c>
      <c r="P14" s="30">
        <f>THG!P14/THG!$C14-1</f>
        <v>-0.31905074260938804</v>
      </c>
      <c r="Q14" s="30">
        <f>THG!Q14/THG!$C14-1</f>
        <v>-0.31904599436908798</v>
      </c>
      <c r="R14" s="30">
        <f>THG!R14/THG!$C14-1</f>
        <v>-0.32906914149345212</v>
      </c>
      <c r="S14" s="30">
        <f>THG!S14/THG!$C14-1</f>
        <v>-0.31264292574673003</v>
      </c>
      <c r="T14" s="30">
        <f>THG!T14/THG!$C14-1</f>
        <v>-0.2833175068829249</v>
      </c>
      <c r="U14" s="30">
        <f>THG!U14/THG!$C14-1</f>
        <v>-0.29584427743511654</v>
      </c>
      <c r="V14" s="30">
        <f>THG!V14/THG!$C14-1</f>
        <v>-0.38819405681153629</v>
      </c>
      <c r="W14" s="30">
        <f>THG!W14/THG!$C14-1</f>
        <v>-0.33825242887380036</v>
      </c>
      <c r="X14" s="30">
        <f>THG!X14/THG!$C14-1</f>
        <v>-0.34543130183079407</v>
      </c>
      <c r="Y14" s="30">
        <f>THG!Y14/THG!$C14-1</f>
        <v>-0.36253029747600929</v>
      </c>
      <c r="Z14" s="30">
        <f>THG!Z14/THG!$C14-1</f>
        <v>-0.3628225780527814</v>
      </c>
      <c r="AA14" s="30">
        <f>THG!AA14/THG!$C14-1</f>
        <v>-0.365898986344386</v>
      </c>
      <c r="AB14" s="30">
        <f>THG!AB14/THG!$C14-1</f>
        <v>-0.34131266817605921</v>
      </c>
      <c r="AC14" s="30">
        <f>THG!AC14/THG!$C14-1</f>
        <v>-0.32801343118237802</v>
      </c>
      <c r="AD14" s="30">
        <f>THG!AD14/THG!$C14-1</f>
        <v>-0.30736569495536326</v>
      </c>
      <c r="AE14" s="30">
        <f>THG!AE14/THG!$C14-1</f>
        <v>-0.33463671628761793</v>
      </c>
      <c r="AF14" s="30">
        <f>THG!AF14/THG!$C14-1</f>
        <v>-0.35526187356274375</v>
      </c>
      <c r="AG14" s="30">
        <f>THG!AG14/THG!$C14-1</f>
        <v>-0.37931786310949078</v>
      </c>
      <c r="AH14" s="30">
        <f>THG!AH14/THG!$C14-1</f>
        <v>-0.35142226913703056</v>
      </c>
      <c r="AI14" s="30">
        <f>THG!AI14/THG!$C14-1</f>
        <v>-0.40842560864105748</v>
      </c>
      <c r="AJ14" s="30">
        <f>THG!AJ14/THG!$C14-1</f>
        <v>-0.4607439126675269</v>
      </c>
      <c r="AK14" s="30">
        <f>THG!AK14/THG!$C14-1</f>
        <v>-0.4605737792982324</v>
      </c>
      <c r="AL14" s="30">
        <f>THG!AL14/THG!$C14-1</f>
        <v>-0.48083528594041824</v>
      </c>
    </row>
    <row r="15" spans="2:38" ht="18.75" customHeight="1">
      <c r="B15" s="18" t="s">
        <v>24</v>
      </c>
      <c r="C15" s="33">
        <f>THG!C15/THG!$C15-1</f>
        <v>0</v>
      </c>
      <c r="D15" s="33">
        <f>THG!D15/THG!$C15-1</f>
        <v>-0.11744511141545722</v>
      </c>
      <c r="E15" s="33">
        <f>THG!E15/THG!$C15-1</f>
        <v>-0.17866041996193571</v>
      </c>
      <c r="F15" s="33">
        <f>THG!F15/THG!$C15-1</f>
        <v>-0.23822155483358232</v>
      </c>
      <c r="G15" s="33">
        <f>THG!G15/THG!$C15-1</f>
        <v>-0.24888480428437276</v>
      </c>
      <c r="H15" s="33">
        <f>THG!H15/THG!$C15-1</f>
        <v>-0.23016915112201597</v>
      </c>
      <c r="I15" s="33">
        <f>THG!I15/THG!$C15-1</f>
        <v>-0.28073461420413748</v>
      </c>
      <c r="J15" s="33">
        <f>THG!J15/THG!$C15-1</f>
        <v>-0.25922472240924788</v>
      </c>
      <c r="K15" s="33">
        <f>THG!K15/THG!$C15-1</f>
        <v>-0.283749714544825</v>
      </c>
      <c r="L15" s="33">
        <f>THG!L15/THG!$C15-1</f>
        <v>-0.29735401916101134</v>
      </c>
      <c r="M15" s="33">
        <f>THG!M15/THG!$C15-1</f>
        <v>-0.31733121372055417</v>
      </c>
      <c r="N15" s="33">
        <f>THG!N15/THG!$C15-1</f>
        <v>-0.35537434092137199</v>
      </c>
      <c r="O15" s="33">
        <f>THG!O15/THG!$C15-1</f>
        <v>-0.35897918632648562</v>
      </c>
      <c r="P15" s="33">
        <f>THG!P15/THG!$C15-1</f>
        <v>-0.37690350858331678</v>
      </c>
      <c r="Q15" s="33">
        <f>THG!Q15/THG!$C15-1</f>
        <v>-0.38647371125520724</v>
      </c>
      <c r="R15" s="33">
        <f>THG!R15/THG!$C15-1</f>
        <v>-0.38443475762981072</v>
      </c>
      <c r="S15" s="33">
        <f>THG!S15/THG!$C15-1</f>
        <v>-0.36136393901137231</v>
      </c>
      <c r="T15" s="33">
        <f>THG!T15/THG!$C15-1</f>
        <v>-0.33439084907214778</v>
      </c>
      <c r="U15" s="33">
        <f>THG!U15/THG!$C15-1</f>
        <v>-0.33065982875618016</v>
      </c>
      <c r="V15" s="33">
        <f>THG!V15/THG!$C15-1</f>
        <v>-0.42645121872647318</v>
      </c>
      <c r="W15" s="33">
        <f>THG!W15/THG!$C15-1</f>
        <v>-0.33914566437580929</v>
      </c>
      <c r="X15" s="33">
        <f>THG!X15/THG!$C15-1</f>
        <v>-0.35769601894340253</v>
      </c>
      <c r="Y15" s="33">
        <f>THG!Y15/THG!$C15-1</f>
        <v>-0.36832190219749406</v>
      </c>
      <c r="Z15" s="33">
        <f>THG!Z15/THG!$C15-1</f>
        <v>-0.3682644457034252</v>
      </c>
      <c r="AA15" s="33">
        <f>THG!AA15/THG!$C15-1</f>
        <v>-0.37453083064548909</v>
      </c>
      <c r="AB15" s="33">
        <f>THG!AB15/THG!$C15-1</f>
        <v>-0.33306682532285636</v>
      </c>
      <c r="AC15" s="33">
        <f>THG!AC15/THG!$C15-1</f>
        <v>-0.32157018962571204</v>
      </c>
      <c r="AD15" s="33">
        <f>THG!AD15/THG!$C15-1</f>
        <v>-0.31124749124110018</v>
      </c>
      <c r="AE15" s="33">
        <f>THG!AE15/THG!$C15-1</f>
        <v>-0.33578813324797741</v>
      </c>
      <c r="AF15" s="33">
        <f>THG!AF15/THG!$C15-1</f>
        <v>-0.34963234601368431</v>
      </c>
      <c r="AG15" s="33">
        <f>THG!AG15/THG!$C15-1</f>
        <v>-0.36346091903561772</v>
      </c>
      <c r="AH15" s="33">
        <f>THG!AH15/THG!$C15-1</f>
        <v>-0.33173524251194708</v>
      </c>
      <c r="AI15" s="33">
        <f>THG!AI15/THG!$C15-1</f>
        <v>-0.38836977380157678</v>
      </c>
      <c r="AJ15" s="33">
        <f>THG!AJ15/THG!$C15-1</f>
        <v>-0.44314913551754354</v>
      </c>
      <c r="AK15" s="33">
        <f>THG!AK15/THG!$C15-1</f>
        <v>-0.44759344613131169</v>
      </c>
      <c r="AL15" s="33">
        <f>THG!AL15/THG!$C15-1</f>
        <v>-0.46749886494432569</v>
      </c>
    </row>
    <row r="16" spans="2:38" ht="18.75" customHeight="1">
      <c r="B16" s="17" t="s">
        <v>11</v>
      </c>
      <c r="C16" s="32">
        <f>THG!C16/THG!$C16-1</f>
        <v>0</v>
      </c>
      <c r="D16" s="32">
        <f>THG!D16/THG!$C16-1</f>
        <v>-9.2362957697389003E-2</v>
      </c>
      <c r="E16" s="32">
        <f>THG!E16/THG!$C16-1</f>
        <v>-5.8978846299221344E-2</v>
      </c>
      <c r="F16" s="32">
        <f>THG!F16/THG!$C16-1</f>
        <v>-4.2151404509282231E-2</v>
      </c>
      <c r="G16" s="32">
        <f>THG!G16/THG!$C16-1</f>
        <v>2.5963620815215416E-2</v>
      </c>
      <c r="H16" s="32">
        <f>THG!H16/THG!$C16-1</f>
        <v>4.1026650402032461E-2</v>
      </c>
      <c r="I16" s="32">
        <f>THG!I16/THG!$C16-1</f>
        <v>-1.8807134212728838E-2</v>
      </c>
      <c r="J16" s="32">
        <f>THG!J16/THG!$C16-1</f>
        <v>3.3322857279738383E-3</v>
      </c>
      <c r="K16" s="32">
        <f>THG!K16/THG!$C16-1</f>
        <v>3.3262693568960611E-3</v>
      </c>
      <c r="L16" s="32">
        <f>THG!L16/THG!$C16-1</f>
        <v>8.0104805741971763E-3</v>
      </c>
      <c r="M16" s="32">
        <f>THG!M16/THG!$C16-1</f>
        <v>-1.0908098870504923E-2</v>
      </c>
      <c r="N16" s="32">
        <f>THG!N16/THG!$C16-1</f>
        <v>-0.10505374462286377</v>
      </c>
      <c r="O16" s="32">
        <f>THG!O16/THG!$C16-1</f>
        <v>-0.14347522520926981</v>
      </c>
      <c r="P16" s="32">
        <f>THG!P16/THG!$C16-1</f>
        <v>-0.11238729112178569</v>
      </c>
      <c r="Q16" s="32">
        <f>THG!Q16/THG!$C16-1</f>
        <v>-8.9957734087988239E-2</v>
      </c>
      <c r="R16" s="32">
        <f>THG!R16/THG!$C16-1</f>
        <v>-0.14440921446403809</v>
      </c>
      <c r="S16" s="32">
        <f>THG!S16/THG!$C16-1</f>
        <v>-0.12424711733133154</v>
      </c>
      <c r="T16" s="32">
        <f>THG!T16/THG!$C16-1</f>
        <v>-6.8392899465797408E-2</v>
      </c>
      <c r="U16" s="32">
        <f>THG!U16/THG!$C16-1</f>
        <v>-0.11209873710787077</v>
      </c>
      <c r="V16" s="32">
        <f>THG!V16/THG!$C16-1</f>
        <v>-0.21343571333145506</v>
      </c>
      <c r="W16" s="32">
        <f>THG!W16/THG!$C16-1</f>
        <v>-0.19322855748141665</v>
      </c>
      <c r="X16" s="32">
        <f>THG!X16/THG!$C16-1</f>
        <v>-0.14213650013973023</v>
      </c>
      <c r="Y16" s="32">
        <f>THG!Y16/THG!$C16-1</f>
        <v>-0.16395707599633624</v>
      </c>
      <c r="Z16" s="32">
        <f>THG!Z16/THG!$C16-1</f>
        <v>-0.18913933090310886</v>
      </c>
      <c r="AA16" s="32">
        <f>THG!AA16/THG!$C16-1</f>
        <v>-0.16513183303654988</v>
      </c>
      <c r="AB16" s="32">
        <f>THG!AB16/THG!$C16-1</f>
        <v>-0.1828499126976757</v>
      </c>
      <c r="AC16" s="32">
        <f>THG!AC16/THG!$C16-1</f>
        <v>-0.18255452987865484</v>
      </c>
      <c r="AD16" s="32">
        <f>THG!AD16/THG!$C16-1</f>
        <v>-0.15257065582135165</v>
      </c>
      <c r="AE16" s="32">
        <f>THG!AE16/THG!$C16-1</f>
        <v>-0.15793022824497527</v>
      </c>
      <c r="AF16" s="32">
        <f>THG!AF16/THG!$C16-1</f>
        <v>-0.16805846503669142</v>
      </c>
      <c r="AG16" s="91">
        <f>THG!AG16/THG!$C16-1</f>
        <v>-0.1836838191048169</v>
      </c>
      <c r="AH16" s="91">
        <f>THG!AH16/THG!$C16-1</f>
        <v>-0.14996384533457052</v>
      </c>
      <c r="AI16" s="91">
        <f>THG!AI16/THG!$C16-1</f>
        <v>-0.20385026842911436</v>
      </c>
      <c r="AJ16" s="91">
        <f>THG!AJ16/THG!$C16-1</f>
        <v>-0.32130167297397949</v>
      </c>
      <c r="AK16" s="91">
        <f>THG!AK16/THG!$C16-1</f>
        <v>-0.35891716767994675</v>
      </c>
      <c r="AL16" s="91">
        <f>THG!AL16/THG!$C16-1</f>
        <v>-0.37001856476591122</v>
      </c>
    </row>
    <row r="17" spans="2:38" ht="18.75" customHeight="1">
      <c r="B17" s="18" t="s">
        <v>12</v>
      </c>
      <c r="C17" s="33">
        <f>THG!C17/THG!$C17-1</f>
        <v>0</v>
      </c>
      <c r="D17" s="33">
        <f>THG!D17/THG!$C17-1</f>
        <v>-2.2342550104656911E-2</v>
      </c>
      <c r="E17" s="33">
        <f>THG!E17/THG!$C17-1</f>
        <v>4.7894129261050855E-2</v>
      </c>
      <c r="F17" s="33">
        <f>THG!F17/THG!$C17-1</f>
        <v>-1.9180776030633728E-2</v>
      </c>
      <c r="G17" s="33">
        <f>THG!G17/THG!$C17-1</f>
        <v>5.9264502714170941E-2</v>
      </c>
      <c r="H17" s="33">
        <f>THG!H17/THG!$C17-1</f>
        <v>5.5707054924883037E-2</v>
      </c>
      <c r="I17" s="33">
        <f>THG!I17/THG!$C17-1</f>
        <v>5.2394703705242351E-2</v>
      </c>
      <c r="J17" s="33">
        <f>THG!J17/THG!$C17-1</f>
        <v>-1.8673127014581126E-2</v>
      </c>
      <c r="K17" s="33">
        <f>THG!K17/THG!$C17-1</f>
        <v>-0.3674035330860087</v>
      </c>
      <c r="L17" s="33">
        <f>THG!L17/THG!$C17-1</f>
        <v>-0.49109600156649658</v>
      </c>
      <c r="M17" s="33">
        <f>THG!M17/THG!$C17-1</f>
        <v>-0.52875795835683115</v>
      </c>
      <c r="N17" s="33">
        <f>THG!N17/THG!$C17-1</f>
        <v>-0.49731847392255646</v>
      </c>
      <c r="O17" s="33">
        <f>THG!O17/THG!$C17-1</f>
        <v>-0.46052967466385919</v>
      </c>
      <c r="P17" s="33">
        <f>THG!P17/THG!$C17-1</f>
        <v>-0.47364663843059907</v>
      </c>
      <c r="Q17" s="33">
        <f>THG!Q17/THG!$C17-1</f>
        <v>-0.449180248921345</v>
      </c>
      <c r="R17" s="33">
        <f>THG!R17/THG!$C17-1</f>
        <v>-0.46336459133138741</v>
      </c>
      <c r="S17" s="33">
        <f>THG!S17/THG!$C17-1</f>
        <v>-0.49282522753345137</v>
      </c>
      <c r="T17" s="33">
        <f>THG!T17/THG!$C17-1</f>
        <v>-0.41930193785408343</v>
      </c>
      <c r="U17" s="33">
        <f>THG!U17/THG!$C17-1</f>
        <v>-0.46041156355607904</v>
      </c>
      <c r="V17" s="33">
        <f>THG!V17/THG!$C17-1</f>
        <v>-0.47012713979066045</v>
      </c>
      <c r="W17" s="33">
        <f>THG!W17/THG!$C17-1</f>
        <v>-0.68041798615094651</v>
      </c>
      <c r="X17" s="33">
        <f>THG!X17/THG!$C17-1</f>
        <v>-0.69995822379249306</v>
      </c>
      <c r="Y17" s="33">
        <f>THG!Y17/THG!$C17-1</f>
        <v>-0.70441694588399095</v>
      </c>
      <c r="Z17" s="33">
        <f>THG!Z17/THG!$C17-1</f>
        <v>-0.70366016789692254</v>
      </c>
      <c r="AA17" s="33">
        <f>THG!AA17/THG!$C17-1</f>
        <v>-0.76688371643235842</v>
      </c>
      <c r="AB17" s="33">
        <f>THG!AB17/THG!$C17-1</f>
        <v>-0.78728094205721855</v>
      </c>
      <c r="AC17" s="33">
        <f>THG!AC17/THG!$C17-1</f>
        <v>-0.78635874964669883</v>
      </c>
      <c r="AD17" s="33">
        <f>THG!AD17/THG!$C17-1</f>
        <v>-0.78719668853036107</v>
      </c>
      <c r="AE17" s="33">
        <f>THG!AE17/THG!$C17-1</f>
        <v>-0.79249394850980903</v>
      </c>
      <c r="AF17" s="33">
        <f>THG!AF17/THG!$C17-1</f>
        <v>-0.79931001969151361</v>
      </c>
      <c r="AG17" s="33">
        <f>THG!AG17/THG!$C17-1</f>
        <v>-0.79872788695671793</v>
      </c>
      <c r="AH17" s="33">
        <f>THG!AH17/THG!$C17-1</f>
        <v>-0.80305777492358732</v>
      </c>
      <c r="AI17" s="33">
        <f>THG!AI17/THG!$C17-1</f>
        <v>-0.84032368133428093</v>
      </c>
      <c r="AJ17" s="33">
        <f>THG!AJ17/THG!$C17-1</f>
        <v>-0.85404569755989956</v>
      </c>
      <c r="AK17" s="33">
        <f>THG!AK17/THG!$C17-1</f>
        <v>-0.84411008144700916</v>
      </c>
      <c r="AL17" s="33">
        <f>THG!AL17/THG!$C17-1</f>
        <v>-0.843520031484019</v>
      </c>
    </row>
    <row r="18" spans="2:38" ht="18.75" customHeight="1">
      <c r="B18" s="17" t="s">
        <v>13</v>
      </c>
      <c r="C18" s="32">
        <f>THG!C18/THG!$C18-1</f>
        <v>0</v>
      </c>
      <c r="D18" s="32">
        <f>THG!D18/THG!$C18-1</f>
        <v>-3.5532297215786102E-2</v>
      </c>
      <c r="E18" s="32">
        <f>THG!E18/THG!$C18-1</f>
        <v>-0.16647711898159134</v>
      </c>
      <c r="F18" s="32">
        <f>THG!F18/THG!$C18-1</f>
        <v>-0.15538950865517709</v>
      </c>
      <c r="G18" s="32">
        <f>THG!G18/THG!$C18-1</f>
        <v>-0.11488208026216384</v>
      </c>
      <c r="H18" s="32">
        <f>THG!H18/THG!$C18-1</f>
        <v>-0.18882469163905069</v>
      </c>
      <c r="I18" s="32">
        <f>THG!I18/THG!$C18-1</f>
        <v>-0.21759236334424392</v>
      </c>
      <c r="J18" s="32">
        <f>THG!J18/THG!$C18-1</f>
        <v>-0.1595090773068969</v>
      </c>
      <c r="K18" s="32">
        <f>THG!K18/THG!$C18-1</f>
        <v>-0.21929061512129422</v>
      </c>
      <c r="L18" s="32">
        <f>THG!L18/THG!$C18-1</f>
        <v>-0.30476759431124023</v>
      </c>
      <c r="M18" s="32">
        <f>THG!M18/THG!$C18-1</f>
        <v>-0.13323045786442911</v>
      </c>
      <c r="N18" s="32">
        <f>THG!N18/THG!$C18-1</f>
        <v>-0.23523424725061981</v>
      </c>
      <c r="O18" s="32">
        <f>THG!O18/THG!$C18-1</f>
        <v>-0.29066113547594419</v>
      </c>
      <c r="P18" s="32">
        <f>THG!P18/THG!$C18-1</f>
        <v>-0.20808899805006764</v>
      </c>
      <c r="Q18" s="32">
        <f>THG!Q18/THG!$C18-1</f>
        <v>-0.20415628094711802</v>
      </c>
      <c r="R18" s="32">
        <f>THG!R18/THG!$C18-1</f>
        <v>-0.25484629206651777</v>
      </c>
      <c r="S18" s="32">
        <f>THG!S18/THG!$C18-1</f>
        <v>-0.2433858018950974</v>
      </c>
      <c r="T18" s="32">
        <f>THG!T18/THG!$C18-1</f>
        <v>-0.27954686849375776</v>
      </c>
      <c r="U18" s="32">
        <f>THG!U18/THG!$C18-1</f>
        <v>-0.33639269435638086</v>
      </c>
      <c r="V18" s="32">
        <f>THG!V18/THG!$C18-1</f>
        <v>-0.52913292898557329</v>
      </c>
      <c r="W18" s="32">
        <f>THG!W18/THG!$C18-1</f>
        <v>-0.40283005119226145</v>
      </c>
      <c r="X18" s="32">
        <f>THG!X18/THG!$C18-1</f>
        <v>-0.38222041707315324</v>
      </c>
      <c r="Y18" s="32">
        <f>THG!Y18/THG!$C18-1</f>
        <v>-0.46671451097209526</v>
      </c>
      <c r="Z18" s="32">
        <f>THG!Z18/THG!$C18-1</f>
        <v>-0.44893777797364065</v>
      </c>
      <c r="AA18" s="32">
        <f>THG!AA18/THG!$C18-1</f>
        <v>-0.38658448054849004</v>
      </c>
      <c r="AB18" s="32">
        <f>THG!AB18/THG!$C18-1</f>
        <v>-0.38992476729951209</v>
      </c>
      <c r="AC18" s="32">
        <f>THG!AC18/THG!$C18-1</f>
        <v>-0.33392674244434617</v>
      </c>
      <c r="AD18" s="32">
        <f>THG!AD18/THG!$C18-1</f>
        <v>-0.21785821056771248</v>
      </c>
      <c r="AE18" s="32">
        <f>THG!AE18/THG!$C18-1</f>
        <v>-0.28056566026978513</v>
      </c>
      <c r="AF18" s="32">
        <f>THG!AF18/THG!$C18-1</f>
        <v>-0.34827862926091246</v>
      </c>
      <c r="AG18" s="91">
        <f>THG!AG18/THG!$C18-1</f>
        <v>-0.42758839076725774</v>
      </c>
      <c r="AH18" s="91">
        <f>THG!AH18/THG!$C18-1</f>
        <v>-0.36546512804342435</v>
      </c>
      <c r="AI18" s="91">
        <f>THG!AI18/THG!$C18-1</f>
        <v>-0.43885608946641264</v>
      </c>
      <c r="AJ18" s="91">
        <f>THG!AJ18/THG!$C18-1</f>
        <v>-0.44841809008728173</v>
      </c>
      <c r="AK18" s="91">
        <f>THG!AK18/THG!$C18-1</f>
        <v>-0.38828818043445712</v>
      </c>
      <c r="AL18" s="91">
        <f>THG!AL18/THG!$C18-1</f>
        <v>-0.44101594619101336</v>
      </c>
    </row>
    <row r="19" spans="2:38" ht="18.75" customHeight="1">
      <c r="B19" s="18" t="s">
        <v>77</v>
      </c>
      <c r="C19" s="33">
        <f>THG!C19/THG!$C19-1</f>
        <v>0</v>
      </c>
      <c r="D19" s="33">
        <f>THG!D19/THG!$C19-1</f>
        <v>2.2976314735999592E-2</v>
      </c>
      <c r="E19" s="33">
        <f>THG!E19/THG!$C19-1</f>
        <v>8.4046587448859622E-2</v>
      </c>
      <c r="F19" s="33">
        <f>THG!F19/THG!$C19-1</f>
        <v>0.37092629434381585</v>
      </c>
      <c r="G19" s="33">
        <f>THG!G19/THG!$C19-1</f>
        <v>0.39810149962596331</v>
      </c>
      <c r="H19" s="33">
        <f>THG!H19/THG!$C19-1</f>
        <v>0.42468423087742058</v>
      </c>
      <c r="I19" s="33">
        <f>THG!I19/THG!$C19-1</f>
        <v>0.47043487065550238</v>
      </c>
      <c r="J19" s="33">
        <f>THG!J19/THG!$C19-1</f>
        <v>0.54834783566883671</v>
      </c>
      <c r="K19" s="33">
        <f>THG!K19/THG!$C19-1</f>
        <v>0.59859345517471918</v>
      </c>
      <c r="L19" s="33">
        <f>THG!L19/THG!$C19-1</f>
        <v>0.46058116622322021</v>
      </c>
      <c r="M19" s="33">
        <f>THG!M19/THG!$C19-1</f>
        <v>0.46625209299218406</v>
      </c>
      <c r="N19" s="33">
        <f>THG!N19/THG!$C19-1</f>
        <v>0.52097378582393583</v>
      </c>
      <c r="O19" s="33">
        <f>THG!O19/THG!$C19-1</f>
        <v>0.49115895728555103</v>
      </c>
      <c r="P19" s="33">
        <f>THG!P19/THG!$C19-1</f>
        <v>0.49243607350902407</v>
      </c>
      <c r="Q19" s="33">
        <f>THG!Q19/THG!$C19-1</f>
        <v>0.52811396681468437</v>
      </c>
      <c r="R19" s="33">
        <f>THG!R19/THG!$C19-1</f>
        <v>0.52752004298884758</v>
      </c>
      <c r="S19" s="33">
        <f>THG!S19/THG!$C19-1</f>
        <v>0.57630603976566452</v>
      </c>
      <c r="T19" s="33">
        <f>THG!T19/THG!$C19-1</f>
        <v>0.62768887207360602</v>
      </c>
      <c r="U19" s="33">
        <f>THG!U19/THG!$C19-1</f>
        <v>0.60407773658500652</v>
      </c>
      <c r="V19" s="33">
        <f>THG!V19/THG!$C19-1</f>
        <v>0.61474573582932179</v>
      </c>
      <c r="W19" s="33">
        <f>THG!W19/THG!$C19-1</f>
        <v>0.67341935335365943</v>
      </c>
      <c r="X19" s="33">
        <f>THG!X19/THG!$C19-1</f>
        <v>0.70314654652565056</v>
      </c>
      <c r="Y19" s="33">
        <f>THG!Y19/THG!$C19-1</f>
        <v>0.72705438228116059</v>
      </c>
      <c r="Z19" s="33">
        <f>THG!Z19/THG!$C19-1</f>
        <v>0.72496651586206462</v>
      </c>
      <c r="AA19" s="33">
        <f>THG!AA19/THG!$C19-1</f>
        <v>0.7290834878300918</v>
      </c>
      <c r="AB19" s="33">
        <f>THG!AB19/THG!$C19-1</f>
        <v>0.76572388360093813</v>
      </c>
      <c r="AC19" s="33">
        <f>THG!AC19/THG!$C19-1</f>
        <v>0.76288362807291032</v>
      </c>
      <c r="AD19" s="33">
        <f>THG!AD19/THG!$C19-1</f>
        <v>0.75364505003833848</v>
      </c>
      <c r="AE19" s="33">
        <f>THG!AE19/THG!$C19-1</f>
        <v>0.64844674335365049</v>
      </c>
      <c r="AF19" s="33">
        <f>THG!AF19/THG!$C19-1</f>
        <v>0.56150523509404282</v>
      </c>
      <c r="AG19" s="33">
        <f>THG!AG19/THG!$C19-1</f>
        <v>0.39647337810488503</v>
      </c>
      <c r="AH19" s="33">
        <f>THG!AH19/THG!$C19-1</f>
        <v>0.34459001770715281</v>
      </c>
      <c r="AI19" s="33">
        <f>THG!AI19/THG!$C19-1</f>
        <v>0.25372011116860516</v>
      </c>
      <c r="AJ19" s="33">
        <f>THG!AJ19/THG!$C19-1</f>
        <v>0.15363882902047421</v>
      </c>
      <c r="AK19" s="33">
        <f>THG!AK19/THG!$C19-1</f>
        <v>0.12763910437411452</v>
      </c>
      <c r="AL19" s="33">
        <f>THG!AL19/THG!$C19-1</f>
        <v>0.10224238418791121</v>
      </c>
    </row>
    <row r="20" spans="2:38" s="149" customFormat="1" ht="18.75" customHeight="1">
      <c r="B20" s="8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</row>
    <row r="21" spans="2:38" s="10" customFormat="1" ht="18.75" customHeight="1">
      <c r="B21" s="151" t="s">
        <v>10</v>
      </c>
      <c r="C21" s="31">
        <f>THG!C21/THG!$C21-1</f>
        <v>0</v>
      </c>
      <c r="D21" s="31">
        <f>THG!D21/THG!$C21-1</f>
        <v>-7.5942647748108438E-3</v>
      </c>
      <c r="E21" s="31">
        <f>THG!E21/THG!$C21-1</f>
        <v>-9.4034140028992796E-2</v>
      </c>
      <c r="F21" s="31">
        <f>THG!F21/THG!$C21-1</f>
        <v>-6.1997664756438087E-2</v>
      </c>
      <c r="G21" s="31">
        <f>THG!G21/THG!$C21-1</f>
        <v>-0.11333116273046451</v>
      </c>
      <c r="H21" s="31">
        <f>THG!H21/THG!$C21-1</f>
        <v>-0.10625360681589524</v>
      </c>
      <c r="I21" s="31">
        <f>THG!I21/THG!$C21-1</f>
        <v>4.0824798807073126E-3</v>
      </c>
      <c r="J21" s="31">
        <f>THG!J21/THG!$C21-1</f>
        <v>-5.8911219743113752E-2</v>
      </c>
      <c r="K21" s="31">
        <f>THG!K21/THG!$C21-1</f>
        <v>-9.7685081509022775E-2</v>
      </c>
      <c r="L21" s="31">
        <f>THG!L21/THG!$C21-1</f>
        <v>-0.17710039730965565</v>
      </c>
      <c r="M21" s="31">
        <f>THG!M21/THG!$C21-1</f>
        <v>-0.2058683566439985</v>
      </c>
      <c r="N21" s="31">
        <f>THG!N21/THG!$C21-1</f>
        <v>-0.10926187593373182</v>
      </c>
      <c r="O21" s="31">
        <f>THG!O21/THG!$C21-1</f>
        <v>-0.171152018236295</v>
      </c>
      <c r="P21" s="31">
        <f>THG!P21/THG!$C21-1</f>
        <v>-0.21787921031584656</v>
      </c>
      <c r="Q21" s="31">
        <f>THG!Q21/THG!$C21-1</f>
        <v>-0.27403131000423497</v>
      </c>
      <c r="R21" s="31">
        <f>THG!R21/THG!$C21-1</f>
        <v>-0.27968499132943192</v>
      </c>
      <c r="S21" s="31">
        <f>THG!S21/THG!$C21-1</f>
        <v>-0.23488293519057879</v>
      </c>
      <c r="T21" s="31">
        <f>THG!T21/THG!$C21-1</f>
        <v>-0.41777669960809694</v>
      </c>
      <c r="U21" s="31">
        <f>THG!U21/THG!$C21-1</f>
        <v>-0.29845577602841067</v>
      </c>
      <c r="V21" s="31">
        <f>THG!V21/THG!$C21-1</f>
        <v>-0.3473862914554815</v>
      </c>
      <c r="W21" s="31">
        <f>THG!W21/THG!$C21-1</f>
        <v>-0.30944953218225568</v>
      </c>
      <c r="X21" s="31">
        <f>THG!X21/THG!$C21-1</f>
        <v>-0.40551309689394699</v>
      </c>
      <c r="Y21" s="31">
        <f>THG!Y21/THG!$C21-1</f>
        <v>-0.3829815364734942</v>
      </c>
      <c r="Z21" s="31">
        <f>THG!Z21/THG!$C21-1</f>
        <v>-0.33227269787065705</v>
      </c>
      <c r="AA21" s="31">
        <f>THG!AA21/THG!$C21-1</f>
        <v>-0.43513760545345348</v>
      </c>
      <c r="AB21" s="31">
        <f>THG!AB21/THG!$C21-1</f>
        <v>-0.405869432495225</v>
      </c>
      <c r="AC21" s="31">
        <f>THG!AC21/THG!$C21-1</f>
        <v>-0.40883007717597031</v>
      </c>
      <c r="AD21" s="31">
        <f>THG!AD21/THG!$C21-1</f>
        <v>-0.41444554607804962</v>
      </c>
      <c r="AE21" s="31">
        <f>THG!AE21/THG!$C21-1</f>
        <v>-0.43966358272850192</v>
      </c>
      <c r="AF21" s="31">
        <f>THG!AF21/THG!$C21-1</f>
        <v>-0.41206615913773126</v>
      </c>
      <c r="AG21" s="31">
        <f>THG!AG21/THG!$C21-1</f>
        <v>-0.42120851672041548</v>
      </c>
      <c r="AH21" s="31">
        <f>THG!AH21/THG!$C21-1</f>
        <v>-0.43836698575209332</v>
      </c>
      <c r="AI21" s="31">
        <f>THG!AI21/THG!$C21-1</f>
        <v>-0.47000856025132631</v>
      </c>
      <c r="AJ21" s="31">
        <f>THG!AJ21/THG!$C21-1</f>
        <v>-0.5126400447775612</v>
      </c>
      <c r="AK21" s="31">
        <f>THG!AK21/THG!$C21-1</f>
        <v>-0.52388054603985768</v>
      </c>
      <c r="AL21" s="31">
        <f>THG!AL21/THG!$C21-1</f>
        <v>-0.50784529558273261</v>
      </c>
    </row>
    <row r="22" spans="2:38" s="149" customFormat="1" ht="18.75" customHeight="1">
      <c r="B22" s="89" t="s">
        <v>69</v>
      </c>
      <c r="C22" s="91">
        <f>THG!C22/THG!$C22-1</f>
        <v>0</v>
      </c>
      <c r="D22" s="91">
        <f>THG!D22/THG!$C22-1</f>
        <v>1.5621549962980819E-3</v>
      </c>
      <c r="E22" s="91">
        <f>THG!E22/THG!$C22-1</f>
        <v>-0.11155079975978044</v>
      </c>
      <c r="F22" s="91">
        <f>THG!F22/THG!$C22-1</f>
        <v>-0.14794971628289755</v>
      </c>
      <c r="G22" s="91">
        <f>THG!G22/THG!$C22-1</f>
        <v>-0.21869670552658826</v>
      </c>
      <c r="H22" s="91">
        <f>THG!H22/THG!$C22-1</f>
        <v>-0.18943837504017857</v>
      </c>
      <c r="I22" s="91">
        <f>THG!I22/THG!$C22-1</f>
        <v>-2.6712602261485974E-2</v>
      </c>
      <c r="J22" s="91">
        <f>THG!J22/THG!$C22-1</f>
        <v>-0.16429740253062053</v>
      </c>
      <c r="K22" s="91">
        <f>THG!K22/THG!$C22-1</f>
        <v>-0.18983979091121461</v>
      </c>
      <c r="L22" s="91">
        <f>THG!L22/THG!$C22-1</f>
        <v>-0.25199216069908048</v>
      </c>
      <c r="M22" s="91">
        <f>THG!M22/THG!$C22-1</f>
        <v>-0.30851051538642771</v>
      </c>
      <c r="N22" s="91">
        <f>THG!N22/THG!$C22-1</f>
        <v>-0.19869618702533032</v>
      </c>
      <c r="O22" s="91">
        <f>THG!O22/THG!$C22-1</f>
        <v>-0.24324652084973553</v>
      </c>
      <c r="P22" s="91">
        <f>THG!P22/THG!$C22-1</f>
        <v>-0.38765480039492717</v>
      </c>
      <c r="Q22" s="91">
        <f>THG!Q22/THG!$C22-1</f>
        <v>-0.44533403842099772</v>
      </c>
      <c r="R22" s="91">
        <f>THG!R22/THG!$C22-1</f>
        <v>-0.42772061520695748</v>
      </c>
      <c r="S22" s="91">
        <f>THG!S22/THG!$C22-1</f>
        <v>-0.31106998336791203</v>
      </c>
      <c r="T22" s="91">
        <f>THG!T22/THG!$C22-1</f>
        <v>-0.48912750656487936</v>
      </c>
      <c r="U22" s="91">
        <f>THG!U22/THG!$C22-1</f>
        <v>-0.41452096404311289</v>
      </c>
      <c r="V22" s="91">
        <f>THG!V22/THG!$C22-1</f>
        <v>-0.45413573627816584</v>
      </c>
      <c r="W22" s="91">
        <f>THG!W22/THG!$C22-1</f>
        <v>-0.43550703811103741</v>
      </c>
      <c r="X22" s="91">
        <f>THG!X22/THG!$C22-1</f>
        <v>-0.47518200414580647</v>
      </c>
      <c r="Y22" s="91">
        <f>THG!Y22/THG!$C22-1</f>
        <v>-0.49397273661500718</v>
      </c>
      <c r="Z22" s="91">
        <f>THG!Z22/THG!$C22-1</f>
        <v>-0.42320865168774713</v>
      </c>
      <c r="AA22" s="91">
        <f>THG!AA22/THG!$C22-1</f>
        <v>-0.49350563847852158</v>
      </c>
      <c r="AB22" s="91">
        <f>THG!AB22/THG!$C22-1</f>
        <v>-0.46821075460605255</v>
      </c>
      <c r="AC22" s="91">
        <f>THG!AC22/THG!$C22-1</f>
        <v>-0.52237051495133668</v>
      </c>
      <c r="AD22" s="91">
        <f>THG!AD22/THG!$C22-1</f>
        <v>-0.5117244009819355</v>
      </c>
      <c r="AE22" s="91">
        <f>THG!AE22/THG!$C22-1</f>
        <v>-0.58674074132183329</v>
      </c>
      <c r="AF22" s="91">
        <f>THG!AF22/THG!$C22-1</f>
        <v>-0.60394888199265573</v>
      </c>
      <c r="AG22" s="91">
        <f>THG!AG22/THG!$C22-1</f>
        <v>-0.62055131573536604</v>
      </c>
      <c r="AH22" s="91">
        <f>THG!AH22/THG!$C22-1</f>
        <v>-0.62143392761282201</v>
      </c>
      <c r="AI22" s="91">
        <f>THG!AI22/THG!$C22-1</f>
        <v>-0.61709335005857668</v>
      </c>
      <c r="AJ22" s="91">
        <f>THG!AJ22/THG!$C22-1</f>
        <v>-0.66369666407739314</v>
      </c>
      <c r="AK22" s="91">
        <f>THG!AK22/THG!$C22-1</f>
        <v>-0.67330988376801382</v>
      </c>
      <c r="AL22" s="91">
        <f>THG!AL22/THG!$C22-1</f>
        <v>-0.6490423243265715</v>
      </c>
    </row>
    <row r="23" spans="2:38" s="149" customFormat="1" ht="18.75" customHeight="1">
      <c r="B23" s="18" t="s">
        <v>17</v>
      </c>
      <c r="C23" s="33">
        <f>THG!C23/THG!$C23-1</f>
        <v>0</v>
      </c>
      <c r="D23" s="33">
        <f>THG!D23/THG!$C23-1</f>
        <v>1.3491957840477076E-2</v>
      </c>
      <c r="E23" s="33">
        <f>THG!E23/THG!$C23-1</f>
        <v>-5.180614841190756E-2</v>
      </c>
      <c r="F23" s="33">
        <f>THG!F23/THG!$C23-1</f>
        <v>2.7196032199111153E-2</v>
      </c>
      <c r="G23" s="33">
        <f>THG!G23/THG!$C23-1</f>
        <v>-1.5997950388932924E-2</v>
      </c>
      <c r="H23" s="33">
        <f>THG!H23/THG!$C23-1</f>
        <v>-1.3196397277438821E-2</v>
      </c>
      <c r="I23" s="33">
        <f>THG!I23/THG!$C23-1</f>
        <v>8.7813743763353713E-2</v>
      </c>
      <c r="J23" s="33">
        <f>THG!J23/THG!$C23-1</f>
        <v>5.7000190633024861E-2</v>
      </c>
      <c r="K23" s="33">
        <f>THG!K23/THG!$C23-1</f>
        <v>7.9990138645793518E-3</v>
      </c>
      <c r="L23" s="33">
        <f>THG!L23/THG!$C23-1</f>
        <v>-8.3927352040960357E-2</v>
      </c>
      <c r="M23" s="33">
        <f>THG!M23/THG!$C23-1</f>
        <v>-9.9467624922775277E-2</v>
      </c>
      <c r="N23" s="33">
        <f>THG!N23/THG!$C23-1</f>
        <v>2.6199777390985002E-3</v>
      </c>
      <c r="O23" s="33">
        <f>THG!O23/THG!$C23-1</f>
        <v>-7.3866216552620378E-2</v>
      </c>
      <c r="P23" s="33">
        <f>THG!P23/THG!$C23-1</f>
        <v>-7.6821550862588239E-2</v>
      </c>
      <c r="Q23" s="33">
        <f>THG!Q23/THG!$C23-1</f>
        <v>-0.13519554129728362</v>
      </c>
      <c r="R23" s="33">
        <f>THG!R23/THG!$C23-1</f>
        <v>-0.15320343912396883</v>
      </c>
      <c r="S23" s="33">
        <f>THG!S23/THG!$C23-1</f>
        <v>-0.13886813416386778</v>
      </c>
      <c r="T23" s="33">
        <f>THG!T23/THG!$C23-1</f>
        <v>-0.3388848199973914</v>
      </c>
      <c r="U23" s="33">
        <f>THG!U23/THG!$C23-1</f>
        <v>-0.18651601017834574</v>
      </c>
      <c r="V23" s="33">
        <f>THG!V23/THG!$C23-1</f>
        <v>-0.2447750696581571</v>
      </c>
      <c r="W23" s="33">
        <f>THG!W23/THG!$C23-1</f>
        <v>-0.19341804421600062</v>
      </c>
      <c r="X23" s="33">
        <f>THG!X23/THG!$C23-1</f>
        <v>-0.32562330307540366</v>
      </c>
      <c r="Y23" s="33">
        <f>THG!Y23/THG!$C23-1</f>
        <v>-0.27884237750688379</v>
      </c>
      <c r="Z23" s="33">
        <f>THG!Z23/THG!$C23-1</f>
        <v>-0.23376364274397898</v>
      </c>
      <c r="AA23" s="33">
        <f>THG!AA23/THG!$C23-1</f>
        <v>-0.36178669392112661</v>
      </c>
      <c r="AB23" s="33">
        <f>THG!AB23/THG!$C23-1</f>
        <v>-0.32783637889994199</v>
      </c>
      <c r="AC23" s="33">
        <f>THG!AC23/THG!$C23-1</f>
        <v>-0.3058463638681892</v>
      </c>
      <c r="AD23" s="33">
        <f>THG!AD23/THG!$C23-1</f>
        <v>-0.31870418412007906</v>
      </c>
      <c r="AE23" s="33">
        <f>THG!AE23/THG!$C23-1</f>
        <v>-0.32073715146208104</v>
      </c>
      <c r="AF23" s="33">
        <f>THG!AF23/THG!$C23-1</f>
        <v>-0.26948397274154268</v>
      </c>
      <c r="AG23" s="33">
        <f>THG!AG23/THG!$C23-1</f>
        <v>-0.27476997721982199</v>
      </c>
      <c r="AH23" s="33">
        <f>THG!AH23/THG!$C23-1</f>
        <v>-0.30307834381124232</v>
      </c>
      <c r="AI23" s="33">
        <f>THG!AI23/THG!$C23-1</f>
        <v>-0.35462617453681278</v>
      </c>
      <c r="AJ23" s="33">
        <f>THG!AJ23/THG!$C23-1</f>
        <v>-0.39917613071122371</v>
      </c>
      <c r="AK23" s="33">
        <f>THG!AK23/THG!$C23-1</f>
        <v>-0.41027542964935648</v>
      </c>
      <c r="AL23" s="33">
        <f>THG!AL23/THG!$C23-1</f>
        <v>-0.39738403521177512</v>
      </c>
    </row>
    <row r="24" spans="2:38" s="149" customFormat="1" ht="18.75" customHeight="1">
      <c r="B24" s="89" t="s">
        <v>70</v>
      </c>
      <c r="C24" s="91">
        <f>THG!C24/THG!$C24-1</f>
        <v>0</v>
      </c>
      <c r="D24" s="91">
        <f>THG!D24/THG!$C24-1</f>
        <v>-0.28685928986978515</v>
      </c>
      <c r="E24" s="91">
        <f>THG!E24/THG!$C24-1</f>
        <v>-0.45885752858486462</v>
      </c>
      <c r="F24" s="91">
        <f>THG!F24/THG!$C24-1</f>
        <v>-0.56708952317910777</v>
      </c>
      <c r="G24" s="91">
        <f>THG!G24/THG!$C24-1</f>
        <v>-0.60177035992317529</v>
      </c>
      <c r="H24" s="91">
        <f>THG!H24/THG!$C24-1</f>
        <v>-0.66842282331838243</v>
      </c>
      <c r="I24" s="91">
        <f>THG!I24/THG!$C24-1</f>
        <v>-0.74065775773686582</v>
      </c>
      <c r="J24" s="91">
        <f>THG!J24/THG!$C24-1</f>
        <v>-0.74953630786768843</v>
      </c>
      <c r="K24" s="91">
        <f>THG!K24/THG!$C24-1</f>
        <v>-0.74870231424332423</v>
      </c>
      <c r="L24" s="91">
        <f>THG!L24/THG!$C24-1</f>
        <v>-0.78550579524375153</v>
      </c>
      <c r="M24" s="91">
        <f>THG!M24/THG!$C24-1</f>
        <v>-0.8078132181294162</v>
      </c>
      <c r="N24" s="91">
        <f>THG!N24/THG!$C24-1</f>
        <v>-0.84251977877880335</v>
      </c>
      <c r="O24" s="91">
        <f>THG!O24/THG!$C24-1</f>
        <v>-0.83951136267219117</v>
      </c>
      <c r="P24" s="91">
        <f>THG!P24/THG!$C24-1</f>
        <v>-0.83312320337781653</v>
      </c>
      <c r="Q24" s="91">
        <f>THG!Q24/THG!$C24-1</f>
        <v>-0.85679913753861336</v>
      </c>
      <c r="R24" s="91">
        <f>THG!R24/THG!$C24-1</f>
        <v>-0.85411065799413255</v>
      </c>
      <c r="S24" s="91">
        <f>THG!S24/THG!$C24-1</f>
        <v>-0.86720756189008297</v>
      </c>
      <c r="T24" s="91">
        <f>THG!T24/THG!$C24-1</f>
        <v>-0.88987802731466381</v>
      </c>
      <c r="U24" s="91">
        <f>THG!U24/THG!$C24-1</f>
        <v>-0.88791899485621917</v>
      </c>
      <c r="V24" s="91">
        <f>THG!V24/THG!$C24-1</f>
        <v>-0.88579246996302952</v>
      </c>
      <c r="W24" s="91">
        <f>THG!W24/THG!$C24-1</f>
        <v>-0.88927686751754276</v>
      </c>
      <c r="X24" s="91">
        <f>THG!X24/THG!$C24-1</f>
        <v>-0.89760202695588387</v>
      </c>
      <c r="Y24" s="91">
        <f>THG!Y24/THG!$C24-1</f>
        <v>-0.91502140694238321</v>
      </c>
      <c r="Z24" s="91">
        <f>THG!Z24/THG!$C24-1</f>
        <v>-0.91177057194926092</v>
      </c>
      <c r="AA24" s="91">
        <f>THG!AA24/THG!$C24-1</f>
        <v>-0.9173119124354151</v>
      </c>
      <c r="AB24" s="91">
        <f>THG!AB24/THG!$C24-1</f>
        <v>-0.91747949261273565</v>
      </c>
      <c r="AC24" s="91">
        <f>THG!AC24/THG!$C24-1</f>
        <v>-0.91446321635632488</v>
      </c>
      <c r="AD24" s="91">
        <f>THG!AD24/THG!$C24-1</f>
        <v>-0.92940704282781628</v>
      </c>
      <c r="AE24" s="91">
        <f>THG!AE24/THG!$C24-1</f>
        <v>-0.93701958222989157</v>
      </c>
      <c r="AF24" s="91">
        <f>THG!AF24/THG!$C24-1</f>
        <v>-0.92401871391065826</v>
      </c>
      <c r="AG24" s="91">
        <f>THG!AG24/THG!$C24-1</f>
        <v>-0.93469517871242003</v>
      </c>
      <c r="AH24" s="91">
        <f>THG!AH24/THG!$C24-1</f>
        <v>-0.91871018350804501</v>
      </c>
      <c r="AI24" s="91">
        <f>THG!AI24/THG!$C24-1</f>
        <v>-0.92873209476535212</v>
      </c>
      <c r="AJ24" s="91">
        <f>THG!AJ24/THG!$C24-1</f>
        <v>-0.92893322658018218</v>
      </c>
      <c r="AK24" s="91">
        <f>THG!AK24/THG!$C24-1</f>
        <v>-0.95053639590148964</v>
      </c>
      <c r="AL24" s="91">
        <f>THG!AL24/THG!$C24-1</f>
        <v>-0.94491340623875852</v>
      </c>
    </row>
    <row r="25" spans="2:38" s="149" customFormat="1" ht="18.75" customHeight="1">
      <c r="B25" s="1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2:38" s="10" customFormat="1" ht="18.75" customHeight="1">
      <c r="B26" s="152" t="s">
        <v>14</v>
      </c>
      <c r="C26" s="30">
        <f>THG!C26/THG!$C26-1</f>
        <v>0</v>
      </c>
      <c r="D26" s="30">
        <f>THG!D26/THG!$C26-1</f>
        <v>1.8045758297278169E-2</v>
      </c>
      <c r="E26" s="30">
        <f>THG!E26/THG!$C26-1</f>
        <v>5.3947182282315653E-2</v>
      </c>
      <c r="F26" s="30">
        <f>THG!F26/THG!$C26-1</f>
        <v>8.0422814923048591E-2</v>
      </c>
      <c r="G26" s="30">
        <f>THG!G26/THG!$C26-1</f>
        <v>5.575484079022619E-2</v>
      </c>
      <c r="H26" s="30">
        <f>THG!H26/THG!$C26-1</f>
        <v>7.8155470592263798E-2</v>
      </c>
      <c r="I26" s="30">
        <f>THG!I26/THG!$C26-1</f>
        <v>7.5608274854128465E-2</v>
      </c>
      <c r="J26" s="30">
        <f>THG!J26/THG!$C26-1</f>
        <v>7.8145981492877548E-2</v>
      </c>
      <c r="K26" s="30">
        <f>THG!K26/THG!$C26-1</f>
        <v>9.8197997228021361E-2</v>
      </c>
      <c r="L26" s="30">
        <f>THG!L26/THG!$C26-1</f>
        <v>0.12962106188449285</v>
      </c>
      <c r="M26" s="30">
        <f>THG!M26/THG!$C26-1</f>
        <v>0.10548180593801093</v>
      </c>
      <c r="N26" s="30">
        <f>THG!N26/THG!$C26-1</f>
        <v>8.165269264223185E-2</v>
      </c>
      <c r="O26" s="30">
        <f>THG!O26/THG!$C26-1</f>
        <v>6.6284635273697878E-2</v>
      </c>
      <c r="P26" s="30">
        <f>THG!P26/THG!$C26-1</f>
        <v>2.5013990396638652E-2</v>
      </c>
      <c r="Q26" s="30">
        <f>THG!Q26/THG!$C26-1</f>
        <v>2.4457891047372948E-2</v>
      </c>
      <c r="R26" s="30">
        <f>THG!R26/THG!$C26-1</f>
        <v>-1.625205742940139E-2</v>
      </c>
      <c r="S26" s="30">
        <f>THG!S26/THG!$C26-1</f>
        <v>-9.0227427866192977E-3</v>
      </c>
      <c r="T26" s="30">
        <f>THG!T26/THG!$C26-1</f>
        <v>-6.9068714003312492E-2</v>
      </c>
      <c r="U26" s="30">
        <f>THG!U26/THG!$C26-1</f>
        <v>-7.1642252283968255E-2</v>
      </c>
      <c r="V26" s="30">
        <f>THG!V26/THG!$C26-1</f>
        <v>-7.4068225783649688E-2</v>
      </c>
      <c r="W26" s="30">
        <f>THG!W26/THG!$C26-1</f>
        <v>-7.0060265259926924E-2</v>
      </c>
      <c r="X26" s="30">
        <f>THG!X26/THG!$C26-1</f>
        <v>-5.9957719318750491E-2</v>
      </c>
      <c r="Y26" s="30">
        <f>THG!Y26/THG!$C26-1</f>
        <v>-6.8985662132300618E-2</v>
      </c>
      <c r="Z26" s="30">
        <f>THG!Z26/THG!$C26-1</f>
        <v>-4.4824055081202796E-2</v>
      </c>
      <c r="AA26" s="30">
        <f>THG!AA26/THG!$C26-1</f>
        <v>-3.5002175400983937E-2</v>
      </c>
      <c r="AB26" s="30">
        <f>THG!AB26/THG!$C26-1</f>
        <v>-1.3865007388707884E-2</v>
      </c>
      <c r="AC26" s="30">
        <f>THG!AC26/THG!$C26-1</f>
        <v>3.2874753019520586E-3</v>
      </c>
      <c r="AD26" s="30">
        <f>THG!AD26/THG!$C26-1</f>
        <v>2.4021298129058843E-2</v>
      </c>
      <c r="AE26" s="30">
        <f>THG!AE26/THG!$C26-1</f>
        <v>-4.3954605007338055E-3</v>
      </c>
      <c r="AF26" s="30">
        <f>THG!AF26/THG!$C26-1</f>
        <v>1.635428591480359E-3</v>
      </c>
      <c r="AG26" s="30">
        <f>THG!AG26/THG!$C26-1</f>
        <v>-0.10688486172144995</v>
      </c>
      <c r="AH26" s="30">
        <f>THG!AH26/THG!$C26-1</f>
        <v>-0.10127049003658883</v>
      </c>
      <c r="AI26" s="30">
        <f>THG!AI26/THG!$C26-1</f>
        <v>-9.3569492168864232E-2</v>
      </c>
      <c r="AJ26" s="30">
        <f>THG!AJ26/THG!$C26-1</f>
        <v>-0.11555566821659491</v>
      </c>
      <c r="AK26" s="30">
        <f>THG!AK26/THG!$C26-1</f>
        <v>-0.11737011994667013</v>
      </c>
      <c r="AL26" s="30">
        <f>THG!AL26/THG!$C26-1</f>
        <v>-0.1043749633443033</v>
      </c>
    </row>
    <row r="27" spans="2:38" s="149" customFormat="1" ht="18.75" customHeight="1">
      <c r="B27" s="18" t="s">
        <v>4</v>
      </c>
      <c r="C27" s="33">
        <f>THG!C27/THG!$C27-1</f>
        <v>0</v>
      </c>
      <c r="D27" s="33">
        <f>THG!D27/THG!$C27-1</f>
        <v>-3.5818305381034365E-2</v>
      </c>
      <c r="E27" s="33">
        <f>THG!E27/THG!$C27-1</f>
        <v>-2.0105122206251824E-2</v>
      </c>
      <c r="F27" s="33">
        <f>THG!F27/THG!$C27-1</f>
        <v>-5.7453822381842823E-2</v>
      </c>
      <c r="G27" s="33">
        <f>THG!G27/THG!$C27-1</f>
        <v>-6.5318763891296761E-2</v>
      </c>
      <c r="H27" s="33">
        <f>THG!H27/THG!$C27-1</f>
        <v>-1.9260054817831662E-2</v>
      </c>
      <c r="I27" s="33">
        <f>THG!I27/THG!$C27-1</f>
        <v>-5.5732725183466836E-2</v>
      </c>
      <c r="J27" s="33">
        <f>THG!J27/THG!$C27-1</f>
        <v>-7.9880938083247699E-3</v>
      </c>
      <c r="K27" s="33">
        <f>THG!K27/THG!$C27-1</f>
        <v>-3.1781046156620363E-3</v>
      </c>
      <c r="L27" s="33">
        <f>THG!L27/THG!$C27-1</f>
        <v>1.4956851430958817E-2</v>
      </c>
      <c r="M27" s="33">
        <f>THG!M27/THG!$C27-1</f>
        <v>6.7585004794435521E-2</v>
      </c>
      <c r="N27" s="33">
        <f>THG!N27/THG!$C27-1</f>
        <v>3.168176702328207E-2</v>
      </c>
      <c r="O27" s="33">
        <f>THG!O27/THG!$C27-1</f>
        <v>-1.5889485085043953E-2</v>
      </c>
      <c r="P27" s="33">
        <f>THG!P27/THG!$C27-1</f>
        <v>-2.1470719266902139E-2</v>
      </c>
      <c r="Q27" s="33">
        <f>THG!Q27/THG!$C27-1</f>
        <v>-3.3660163820006694E-2</v>
      </c>
      <c r="R27" s="33">
        <f>THG!R27/THG!$C27-1</f>
        <v>-2.2407816525132351E-2</v>
      </c>
      <c r="S27" s="33">
        <f>THG!S27/THG!$C27-1</f>
        <v>6.2959344587398824E-4</v>
      </c>
      <c r="T27" s="33">
        <f>THG!T27/THG!$C27-1</f>
        <v>3.0476513564950514E-2</v>
      </c>
      <c r="U27" s="33">
        <f>THG!U27/THG!$C27-1</f>
        <v>4.0951912961582515E-2</v>
      </c>
      <c r="V27" s="33">
        <f>THG!V27/THG!$C27-1</f>
        <v>-2.2282739693414655E-2</v>
      </c>
      <c r="W27" s="33">
        <f>THG!W27/THG!$C27-1</f>
        <v>-2.7492501984844542E-2</v>
      </c>
      <c r="X27" s="33">
        <f>THG!X27/THG!$C27-1</f>
        <v>-1.7828487607653654E-2</v>
      </c>
      <c r="Y27" s="33">
        <f>THG!Y27/THG!$C27-1</f>
        <v>-6.6371732080487966E-2</v>
      </c>
      <c r="Z27" s="33">
        <f>THG!Z27/THG!$C27-1</f>
        <v>-0.15624938813476985</v>
      </c>
      <c r="AA27" s="33">
        <f>THG!AA27/THG!$C27-1</f>
        <v>-0.14689343321908999</v>
      </c>
      <c r="AB27" s="33">
        <f>THG!AB27/THG!$C27-1</f>
        <v>-0.10985169053645572</v>
      </c>
      <c r="AC27" s="33">
        <f>THG!AC27/THG!$C27-1</f>
        <v>-0.10682263148303406</v>
      </c>
      <c r="AD27" s="33">
        <f>THG!AD27/THG!$C27-1</f>
        <v>-0.13379731351185209</v>
      </c>
      <c r="AE27" s="33">
        <f>THG!AE27/THG!$C27-1</f>
        <v>-0.13713445828477888</v>
      </c>
      <c r="AF27" s="33">
        <f>THG!AF27/THG!$C27-1</f>
        <v>-0.11086513055745872</v>
      </c>
      <c r="AG27" s="33">
        <f>THG!AG27/THG!$C27-1</f>
        <v>-0.60161149762419597</v>
      </c>
      <c r="AH27" s="33">
        <f>THG!AH27/THG!$C27-1</f>
        <v>-0.6924701842522889</v>
      </c>
      <c r="AI27" s="33">
        <f>THG!AI27/THG!$C27-1</f>
        <v>-0.55345298496904727</v>
      </c>
      <c r="AJ27" s="33">
        <f>THG!AJ27/THG!$C27-1</f>
        <v>-0.53148555769079131</v>
      </c>
      <c r="AK27" s="33">
        <f>THG!AK27/THG!$C27-1</f>
        <v>-0.52946280733598727</v>
      </c>
      <c r="AL27" s="33">
        <f>THG!AL27/THG!$C27-1</f>
        <v>-0.52679269424995012</v>
      </c>
    </row>
    <row r="28" spans="2:38" s="149" customFormat="1" ht="18.75" customHeight="1">
      <c r="B28" s="89" t="s">
        <v>5</v>
      </c>
      <c r="C28" s="91">
        <f>THG!C28/THG!$C28-1</f>
        <v>0</v>
      </c>
      <c r="D28" s="91">
        <f>THG!D28/THG!$C28-1</f>
        <v>2.2543513511855018E-2</v>
      </c>
      <c r="E28" s="91">
        <f>THG!E28/THG!$C28-1</f>
        <v>6.0126809928364056E-2</v>
      </c>
      <c r="F28" s="91">
        <f>THG!F28/THG!$C28-1</f>
        <v>8.8803289222159743E-2</v>
      </c>
      <c r="G28" s="91">
        <f>THG!G28/THG!$C28-1</f>
        <v>6.449045898328909E-2</v>
      </c>
      <c r="H28" s="91">
        <f>THG!H28/THG!$C28-1</f>
        <v>9.0906204081361075E-2</v>
      </c>
      <c r="I28" s="91">
        <f>THG!I28/THG!$C28-1</f>
        <v>9.0722563601907114E-2</v>
      </c>
      <c r="J28" s="91">
        <f>THG!J28/THG!$C28-1</f>
        <v>9.5984579903410694E-2</v>
      </c>
      <c r="K28" s="91">
        <f>THG!K28/THG!$C28-1</f>
        <v>0.11772425495014782</v>
      </c>
      <c r="L28" s="91">
        <f>THG!L28/THG!$C28-1</f>
        <v>0.15287281215549631</v>
      </c>
      <c r="M28" s="91">
        <f>THG!M28/THG!$C28-1</f>
        <v>0.12706380038388798</v>
      </c>
      <c r="N28" s="91">
        <f>THG!N28/THG!$C28-1</f>
        <v>0.10360019638157447</v>
      </c>
      <c r="O28" s="91">
        <f>THG!O28/THG!$C28-1</f>
        <v>8.9427949624550473E-2</v>
      </c>
      <c r="P28" s="91">
        <f>THG!P28/THG!$C28-1</f>
        <v>4.3993143433608717E-2</v>
      </c>
      <c r="Q28" s="91">
        <f>THG!Q28/THG!$C28-1</f>
        <v>4.3464161956472402E-2</v>
      </c>
      <c r="R28" s="91">
        <f>THG!R28/THG!$C28-1</f>
        <v>2.3136209742369296E-4</v>
      </c>
      <c r="S28" s="91">
        <f>THG!S28/THG!$C28-1</f>
        <v>8.3527721645308972E-3</v>
      </c>
      <c r="T28" s="91">
        <f>THG!T28/THG!$C28-1</f>
        <v>-5.3889256153072718E-2</v>
      </c>
      <c r="U28" s="91">
        <f>THG!U28/THG!$C28-1</f>
        <v>-5.7994585423023048E-2</v>
      </c>
      <c r="V28" s="91">
        <f>THG!V28/THG!$C28-1</f>
        <v>-5.6511812868657141E-2</v>
      </c>
      <c r="W28" s="91">
        <f>THG!W28/THG!$C28-1</f>
        <v>-5.3284198396004179E-2</v>
      </c>
      <c r="X28" s="91">
        <f>THG!X28/THG!$C28-1</f>
        <v>-4.1971497068597485E-2</v>
      </c>
      <c r="Y28" s="91">
        <f>THG!Y28/THG!$C28-1</f>
        <v>-5.0536916590908421E-2</v>
      </c>
      <c r="Z28" s="91">
        <f>THG!Z28/THG!$C28-1</f>
        <v>-2.3778573215374244E-2</v>
      </c>
      <c r="AA28" s="91">
        <f>THG!AA28/THG!$C28-1</f>
        <v>-1.3025034296388127E-2</v>
      </c>
      <c r="AB28" s="91">
        <f>THG!AB28/THG!$C28-1</f>
        <v>8.3266382403046624E-3</v>
      </c>
      <c r="AC28" s="91">
        <f>THG!AC28/THG!$C28-1</f>
        <v>2.6650543677886329E-2</v>
      </c>
      <c r="AD28" s="91">
        <f>THG!AD28/THG!$C28-1</f>
        <v>5.0083442621312146E-2</v>
      </c>
      <c r="AE28" s="91">
        <f>THG!AE28/THG!$C28-1</f>
        <v>2.0724352837732107E-2</v>
      </c>
      <c r="AF28" s="91">
        <f>THG!AF28/THG!$C28-1</f>
        <v>2.6040875487367332E-2</v>
      </c>
      <c r="AG28" s="91">
        <f>THG!AG28/THG!$C28-1</f>
        <v>-8.0163600000722535E-2</v>
      </c>
      <c r="AH28" s="91">
        <f>THG!AH28/THG!$C28-1</f>
        <v>-7.2152753429090666E-2</v>
      </c>
      <c r="AI28" s="91">
        <f>THG!AI28/THG!$C28-1</f>
        <v>-6.4142851838368875E-2</v>
      </c>
      <c r="AJ28" s="91">
        <f>THG!AJ28/THG!$C28-1</f>
        <v>-8.7725547615065125E-2</v>
      </c>
      <c r="AK28" s="91">
        <f>THG!AK28/THG!$C28-1</f>
        <v>-8.9895613984167455E-2</v>
      </c>
      <c r="AL28" s="91">
        <f>THG!AL28/THG!$C28-1</f>
        <v>-7.610821306313964E-2</v>
      </c>
    </row>
    <row r="29" spans="2:38" s="149" customFormat="1" ht="18.75" customHeight="1">
      <c r="B29" s="18" t="s">
        <v>6</v>
      </c>
      <c r="C29" s="33">
        <f>THG!C29/THG!$C29-1</f>
        <v>0</v>
      </c>
      <c r="D29" s="33">
        <f>THG!D29/THG!$C29-1</f>
        <v>-0.10803610414581222</v>
      </c>
      <c r="E29" s="33">
        <f>THG!E29/THG!$C29-1</f>
        <v>-0.12457693866941832</v>
      </c>
      <c r="F29" s="33">
        <f>THG!F29/THG!$C29-1</f>
        <v>-0.12849541626355321</v>
      </c>
      <c r="G29" s="33">
        <f>THG!G29/THG!$C29-1</f>
        <v>-0.18946493190618241</v>
      </c>
      <c r="H29" s="33">
        <f>THG!H29/THG!$C29-1</f>
        <v>-0.21608173929954244</v>
      </c>
      <c r="I29" s="33">
        <f>THG!I29/THG!$C29-1</f>
        <v>-0.25490509994152999</v>
      </c>
      <c r="J29" s="33">
        <f>THG!J29/THG!$C29-1</f>
        <v>-0.31230362325877137</v>
      </c>
      <c r="K29" s="33">
        <f>THG!K29/THG!$C29-1</f>
        <v>-0.35090535071832751</v>
      </c>
      <c r="L29" s="33">
        <f>THG!L29/THG!$C29-1</f>
        <v>-0.38665612758321488</v>
      </c>
      <c r="M29" s="33">
        <f>THG!M29/THG!$C29-1</f>
        <v>-0.38159413201996972</v>
      </c>
      <c r="N29" s="33">
        <f>THG!N29/THG!$C29-1</f>
        <v>-0.43318762283606105</v>
      </c>
      <c r="O29" s="33">
        <f>THG!O29/THG!$C29-1</f>
        <v>-0.47498615741847283</v>
      </c>
      <c r="P29" s="33">
        <f>THG!P29/THG!$C29-1</f>
        <v>-0.4848283189993513</v>
      </c>
      <c r="Q29" s="33">
        <f>THG!Q29/THG!$C29-1</f>
        <v>-0.51337141516885532</v>
      </c>
      <c r="R29" s="33">
        <f>THG!R29/THG!$C29-1</f>
        <v>-0.54753297544414448</v>
      </c>
      <c r="S29" s="33">
        <f>THG!S29/THG!$C29-1</f>
        <v>-0.59105018256633923</v>
      </c>
      <c r="T29" s="33">
        <f>THG!T29/THG!$C29-1</f>
        <v>-0.60462773137568049</v>
      </c>
      <c r="U29" s="33">
        <f>THG!U29/THG!$C29-1</f>
        <v>-0.61502671783793894</v>
      </c>
      <c r="V29" s="33">
        <f>THG!V29/THG!$C29-1</f>
        <v>-0.65187588810467301</v>
      </c>
      <c r="W29" s="33">
        <f>THG!W29/THG!$C29-1</f>
        <v>-0.64527218397566788</v>
      </c>
      <c r="X29" s="33">
        <f>THG!X29/THG!$C29-1</f>
        <v>-0.64169171407618242</v>
      </c>
      <c r="Y29" s="33">
        <f>THG!Y29/THG!$C29-1</f>
        <v>-0.67014921817319095</v>
      </c>
      <c r="Z29" s="33">
        <f>THG!Z29/THG!$C29-1</f>
        <v>-0.66447901473233195</v>
      </c>
      <c r="AA29" s="33">
        <f>THG!AA29/THG!$C29-1</f>
        <v>-0.69982881735315161</v>
      </c>
      <c r="AB29" s="33">
        <f>THG!AB29/THG!$C29-1</f>
        <v>-0.67575875020374054</v>
      </c>
      <c r="AC29" s="33">
        <f>THG!AC29/THG!$C29-1</f>
        <v>-0.66474898196984589</v>
      </c>
      <c r="AD29" s="33">
        <f>THG!AD29/THG!$C29-1</f>
        <v>-0.72186991432939207</v>
      </c>
      <c r="AE29" s="33">
        <f>THG!AE29/THG!$C29-1</f>
        <v>-0.76709487644848684</v>
      </c>
      <c r="AF29" s="33">
        <f>THG!AF29/THG!$C29-1</f>
        <v>-0.73600244403046089</v>
      </c>
      <c r="AG29" s="33">
        <f>THG!AG29/THG!$C29-1</f>
        <v>-0.73648092606783999</v>
      </c>
      <c r="AH29" s="33">
        <f>THG!AH29/THG!$C29-1</f>
        <v>-0.72923679264773167</v>
      </c>
      <c r="AI29" s="33">
        <f>THG!AI29/THG!$C29-1</f>
        <v>-0.74310398152577795</v>
      </c>
      <c r="AJ29" s="33">
        <f>THG!AJ29/THG!$C29-1</f>
        <v>-0.75359960973808171</v>
      </c>
      <c r="AK29" s="33">
        <f>THG!AK29/THG!$C29-1</f>
        <v>-0.76424598004285937</v>
      </c>
      <c r="AL29" s="33">
        <f>THG!AL29/THG!$C29-1</f>
        <v>-0.76523051771532036</v>
      </c>
    </row>
    <row r="30" spans="2:38" s="149" customFormat="1" ht="18.75" customHeight="1">
      <c r="B30" s="89" t="s">
        <v>7</v>
      </c>
      <c r="C30" s="91">
        <f>THG!C30/THG!$C30-1</f>
        <v>0</v>
      </c>
      <c r="D30" s="91">
        <f>THG!D30/THG!$C30-1</f>
        <v>-3.8705354116570723E-2</v>
      </c>
      <c r="E30" s="91">
        <f>THG!E30/THG!$C30-1</f>
        <v>-1.8476434801722674E-2</v>
      </c>
      <c r="F30" s="91">
        <f>THG!F30/THG!$C30-1</f>
        <v>-2.3534297221469824E-2</v>
      </c>
      <c r="G30" s="91">
        <f>THG!G30/THG!$C30-1</f>
        <v>-4.145308551275928E-2</v>
      </c>
      <c r="H30" s="91">
        <f>THG!H30/THG!$C30-1</f>
        <v>-0.19104066124469077</v>
      </c>
      <c r="I30" s="91">
        <f>THG!I30/THG!$C30-1</f>
        <v>-0.2502967224171363</v>
      </c>
      <c r="J30" s="91">
        <f>THG!J30/THG!$C30-1</f>
        <v>-0.3591097697787069</v>
      </c>
      <c r="K30" s="91">
        <f>THG!K30/THG!$C30-1</f>
        <v>-0.35236383951776062</v>
      </c>
      <c r="L30" s="91">
        <f>THG!L30/THG!$C30-1</f>
        <v>-0.43083386811004643</v>
      </c>
      <c r="M30" s="91">
        <f>THG!M30/THG!$C30-1</f>
        <v>-0.45924578712049335</v>
      </c>
      <c r="N30" s="91">
        <f>THG!N30/THG!$C30-1</f>
        <v>-0.46352912294138049</v>
      </c>
      <c r="O30" s="91">
        <f>THG!O30/THG!$C30-1</f>
        <v>-0.48761164699463444</v>
      </c>
      <c r="P30" s="91">
        <f>THG!P30/THG!$C30-1</f>
        <v>-0.37663142729689103</v>
      </c>
      <c r="Q30" s="91">
        <f>THG!Q30/THG!$C30-1</f>
        <v>-0.340487072516786</v>
      </c>
      <c r="R30" s="91">
        <f>THG!R30/THG!$C30-1</f>
        <v>-0.2992889432283582</v>
      </c>
      <c r="S30" s="91">
        <f>THG!S30/THG!$C30-1</f>
        <v>-0.29689840041003257</v>
      </c>
      <c r="T30" s="91">
        <f>THG!T30/THG!$C30-1</f>
        <v>-0.36244135374197495</v>
      </c>
      <c r="U30" s="91">
        <f>THG!U30/THG!$C30-1</f>
        <v>-0.28876631876164838</v>
      </c>
      <c r="V30" s="91">
        <f>THG!V30/THG!$C30-1</f>
        <v>-0.40797422465198818</v>
      </c>
      <c r="W30" s="91">
        <f>THG!W30/THG!$C30-1</f>
        <v>-0.35977117501968237</v>
      </c>
      <c r="X30" s="91">
        <f>THG!X30/THG!$C30-1</f>
        <v>-0.40427392956198571</v>
      </c>
      <c r="Y30" s="91">
        <f>THG!Y30/THG!$C30-1</f>
        <v>-0.3862735392773714</v>
      </c>
      <c r="Z30" s="91">
        <f>THG!Z30/THG!$C30-1</f>
        <v>-0.38760541385053504</v>
      </c>
      <c r="AA30" s="91">
        <f>THG!AA30/THG!$C30-1</f>
        <v>-0.37792585387004518</v>
      </c>
      <c r="AB30" s="91">
        <f>THG!AB30/THG!$C30-1</f>
        <v>-0.38301824446488286</v>
      </c>
      <c r="AC30" s="91">
        <f>THG!AC30/THG!$C30-1</f>
        <v>-0.40836352550785493</v>
      </c>
      <c r="AD30" s="91">
        <f>THG!AD30/THG!$C30-1</f>
        <v>-0.4075675321875728</v>
      </c>
      <c r="AE30" s="91">
        <f>THG!AE30/THG!$C30-1</f>
        <v>-0.38970805866178804</v>
      </c>
      <c r="AF30" s="91">
        <f>THG!AF30/THG!$C30-1</f>
        <v>-0.38889348911250554</v>
      </c>
      <c r="AG30" s="91">
        <f>THG!AG30/THG!$C30-1</f>
        <v>-0.43400788201463125</v>
      </c>
      <c r="AH30" s="91">
        <f>THG!AH30/THG!$C30-1</f>
        <v>-0.47813017368956878</v>
      </c>
      <c r="AI30" s="91">
        <f>THG!AI30/THG!$C30-1</f>
        <v>-0.56474438393444992</v>
      </c>
      <c r="AJ30" s="91">
        <f>THG!AJ30/THG!$C30-1</f>
        <v>-0.55106089897737842</v>
      </c>
      <c r="AK30" s="91">
        <f>THG!AK30/THG!$C30-1</f>
        <v>-0.52849215157229246</v>
      </c>
      <c r="AL30" s="91">
        <f>THG!AL30/THG!$C30-1</f>
        <v>-0.5334154227521648</v>
      </c>
    </row>
    <row r="31" spans="2:38" s="149" customFormat="1" ht="18.75" customHeight="1">
      <c r="B31" s="1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2:38" s="10" customFormat="1" ht="18.75" customHeight="1">
      <c r="B32" s="152" t="s">
        <v>15</v>
      </c>
      <c r="C32" s="30">
        <f>THG!C32/THG!$C32-1</f>
        <v>0</v>
      </c>
      <c r="D32" s="30">
        <f>THG!D32/THG!$C32-1</f>
        <v>-0.11052263545603469</v>
      </c>
      <c r="E32" s="30">
        <f>THG!E32/THG!$C32-1</f>
        <v>-0.12381467651490308</v>
      </c>
      <c r="F32" s="30">
        <f>THG!F32/THG!$C32-1</f>
        <v>-0.13309691733463314</v>
      </c>
      <c r="G32" s="30">
        <f>THG!G32/THG!$C32-1</f>
        <v>-0.12639953455048059</v>
      </c>
      <c r="H32" s="30">
        <f>THG!H32/THG!$C32-1</f>
        <v>-0.12745531634464879</v>
      </c>
      <c r="I32" s="30">
        <f>THG!I32/THG!$C32-1</f>
        <v>-0.11456720784594598</v>
      </c>
      <c r="J32" s="30">
        <f>THG!J32/THG!$C32-1</f>
        <v>-0.13771957003105151</v>
      </c>
      <c r="K32" s="30">
        <f>THG!K32/THG!$C32-1</f>
        <v>-0.14208536724251786</v>
      </c>
      <c r="L32" s="30">
        <f>THG!L32/THG!$C32-1</f>
        <v>-0.14035502909655106</v>
      </c>
      <c r="M32" s="30">
        <f>THG!M32/THG!$C32-1</f>
        <v>-0.15235439340374624</v>
      </c>
      <c r="N32" s="30">
        <f>THG!N32/THG!$C32-1</f>
        <v>-0.14962290394010191</v>
      </c>
      <c r="O32" s="30">
        <f>THG!O32/THG!$C32-1</f>
        <v>-0.16243999928927455</v>
      </c>
      <c r="P32" s="30">
        <f>THG!P32/THG!$C32-1</f>
        <v>-0.19872404476329186</v>
      </c>
      <c r="Q32" s="30">
        <f>THG!Q32/THG!$C32-1</f>
        <v>-0.19901614425499869</v>
      </c>
      <c r="R32" s="30">
        <f>THG!R32/THG!$C32-1</f>
        <v>-0.20436032681579896</v>
      </c>
      <c r="S32" s="30">
        <f>THG!S32/THG!$C32-1</f>
        <v>-0.21076412674015499</v>
      </c>
      <c r="T32" s="30">
        <f>THG!T32/THG!$C32-1</f>
        <v>-0.20539706734410113</v>
      </c>
      <c r="U32" s="30">
        <f>THG!U32/THG!$C32-1</f>
        <v>-0.21229273316567066</v>
      </c>
      <c r="V32" s="30">
        <f>THG!V32/THG!$C32-1</f>
        <v>-0.21189380789395829</v>
      </c>
      <c r="W32" s="30">
        <f>THG!W32/THG!$C32-1</f>
        <v>-0.20962834085322424</v>
      </c>
      <c r="X32" s="30">
        <f>THG!X32/THG!$C32-1</f>
        <v>-0.20474819796121912</v>
      </c>
      <c r="Y32" s="30">
        <f>THG!Y32/THG!$C32-1</f>
        <v>-0.20709288299062156</v>
      </c>
      <c r="Z32" s="30">
        <f>THG!Z32/THG!$C32-1</f>
        <v>-0.19123602815390905</v>
      </c>
      <c r="AA32" s="30">
        <f>THG!AA32/THG!$C32-1</f>
        <v>-0.17436169153864578</v>
      </c>
      <c r="AB32" s="30">
        <f>THG!AB32/THG!$C32-1</f>
        <v>-0.18722712121881835</v>
      </c>
      <c r="AC32" s="30">
        <f>THG!AC32/THG!$C32-1</f>
        <v>-0.18262826788250475</v>
      </c>
      <c r="AD32" s="30">
        <f>THG!AD32/THG!$C32-1</f>
        <v>-0.19171691734529062</v>
      </c>
      <c r="AE32" s="30">
        <f>THG!AE32/THG!$C32-1</f>
        <v>-0.22769375288782079</v>
      </c>
      <c r="AF32" s="30">
        <f>THG!AF32/THG!$C32-1</f>
        <v>-0.22932677897723019</v>
      </c>
      <c r="AG32" s="30">
        <f>THG!AG32/THG!$C32-1</f>
        <v>-0.24251459064401637</v>
      </c>
      <c r="AH32" s="30">
        <f>THG!AH32/THG!$C32-1</f>
        <v>-0.25109910915666922</v>
      </c>
      <c r="AI32" s="30">
        <f>THG!AI32/THG!$C32-1</f>
        <v>-0.27812459364829567</v>
      </c>
      <c r="AJ32" s="30">
        <f>THG!AJ32/THG!$C32-1</f>
        <v>-0.26853507104619212</v>
      </c>
      <c r="AK32" s="30">
        <f>THG!AK32/THG!$C32-1</f>
        <v>-0.29064592661080013</v>
      </c>
      <c r="AL32" s="30">
        <f>THG!AL32/THG!$C32-1</f>
        <v>-0.29068854018786705</v>
      </c>
    </row>
    <row r="33" spans="2:38" s="149" customFormat="1" ht="18.75" customHeight="1">
      <c r="B33" s="18" t="s">
        <v>18</v>
      </c>
      <c r="C33" s="33">
        <f>THG!C33/THG!$C33-1</f>
        <v>0</v>
      </c>
      <c r="D33" s="33">
        <f>THG!D33/THG!$C33-1</f>
        <v>-0.15368381321806424</v>
      </c>
      <c r="E33" s="33">
        <f>THG!E33/THG!$C33-1</f>
        <v>-0.20317511252303966</v>
      </c>
      <c r="F33" s="33">
        <f>THG!F33/THG!$C33-1</f>
        <v>-0.16677022578582035</v>
      </c>
      <c r="G33" s="33">
        <f>THG!G33/THG!$C33-1</f>
        <v>-0.1712385210968963</v>
      </c>
      <c r="H33" s="33">
        <f>THG!H33/THG!$C33-1</f>
        <v>-0.14827123337899706</v>
      </c>
      <c r="I33" s="33">
        <f>THG!I33/THG!$C33-1</f>
        <v>-5.7628686288069275E-2</v>
      </c>
      <c r="J33" s="33">
        <f>THG!J33/THG!$C33-1</f>
        <v>-0.15840461620287494</v>
      </c>
      <c r="K33" s="33">
        <f>THG!K33/THG!$C33-1</f>
        <v>-0.20265981436761005</v>
      </c>
      <c r="L33" s="33">
        <f>THG!L33/THG!$C33-1</f>
        <v>-0.19335475762153309</v>
      </c>
      <c r="M33" s="33">
        <f>THG!M33/THG!$C33-1</f>
        <v>-0.26843721507252338</v>
      </c>
      <c r="N33" s="33">
        <f>THG!N33/THG!$C33-1</f>
        <v>-0.24783435557961275</v>
      </c>
      <c r="O33" s="33">
        <f>THG!O33/THG!$C33-1</f>
        <v>-0.27424951813474729</v>
      </c>
      <c r="P33" s="33">
        <f>THG!P33/THG!$C33-1</f>
        <v>-0.30562691928382235</v>
      </c>
      <c r="Q33" s="33">
        <f>THG!Q33/THG!$C33-1</f>
        <v>-0.32524618980013253</v>
      </c>
      <c r="R33" s="33">
        <f>THG!R33/THG!$C33-1</f>
        <v>-0.34683114885949573</v>
      </c>
      <c r="S33" s="33">
        <f>THG!S33/THG!$C33-1</f>
        <v>-0.31909943998283941</v>
      </c>
      <c r="T33" s="33">
        <f>THG!T33/THG!$C33-1</f>
        <v>-0.37883755420216592</v>
      </c>
      <c r="U33" s="33">
        <f>THG!U33/THG!$C33-1</f>
        <v>-0.33791316511948721</v>
      </c>
      <c r="V33" s="33">
        <f>THG!V33/THG!$C33-1</f>
        <v>-0.3775598033692934</v>
      </c>
      <c r="W33" s="33">
        <f>THG!W33/THG!$C33-1</f>
        <v>-0.34642400833088127</v>
      </c>
      <c r="X33" s="33">
        <f>THG!X33/THG!$C33-1</f>
        <v>-0.29191735706849298</v>
      </c>
      <c r="Y33" s="33">
        <f>THG!Y33/THG!$C33-1</f>
        <v>-0.32226579320483639</v>
      </c>
      <c r="Z33" s="33">
        <f>THG!Z33/THG!$C33-1</f>
        <v>-0.3318406906261826</v>
      </c>
      <c r="AA33" s="33">
        <f>THG!AA33/THG!$C33-1</f>
        <v>-0.27253204372776629</v>
      </c>
      <c r="AB33" s="33">
        <f>THG!AB33/THG!$C33-1</f>
        <v>-0.30722013616645094</v>
      </c>
      <c r="AC33" s="33">
        <f>THG!AC33/THG!$C33-1</f>
        <v>-0.29586068709217739</v>
      </c>
      <c r="AD33" s="33">
        <f>THG!AD33/THG!$C33-1</f>
        <v>-0.34669594711369045</v>
      </c>
      <c r="AE33" s="33">
        <f>THG!AE33/THG!$C33-1</f>
        <v>-0.3571534042973894</v>
      </c>
      <c r="AF33" s="33">
        <f>THG!AF33/THG!$C33-1</f>
        <v>-0.36128434359275963</v>
      </c>
      <c r="AG33" s="33">
        <f>THG!AG33/THG!$C33-1</f>
        <v>-0.33553972457349157</v>
      </c>
      <c r="AH33" s="33">
        <f>THG!AH33/THG!$C33-1</f>
        <v>-0.32655492616216464</v>
      </c>
      <c r="AI33" s="33">
        <f>THG!AI33/THG!$C33-1</f>
        <v>-0.35037008432415695</v>
      </c>
      <c r="AJ33" s="33">
        <f>THG!AJ33/THG!$C33-1</f>
        <v>-0.35550141936194812</v>
      </c>
      <c r="AK33" s="33">
        <f>THG!AK33/THG!$C33-1</f>
        <v>-0.35563604722741726</v>
      </c>
      <c r="AL33" s="33">
        <f>THG!AL33/THG!$C33-1</f>
        <v>-0.35611915948083428</v>
      </c>
    </row>
    <row r="34" spans="2:38" s="149" customFormat="1" ht="18.75" customHeight="1">
      <c r="B34" s="89" t="s">
        <v>29</v>
      </c>
      <c r="C34" s="91">
        <f>THG!C34/THG!$C34-1</f>
        <v>0</v>
      </c>
      <c r="D34" s="91">
        <f>THG!D34/THG!$C34-1</f>
        <v>-0.10619019967328203</v>
      </c>
      <c r="E34" s="91">
        <f>THG!E34/THG!$C34-1</f>
        <v>-0.12750071804056651</v>
      </c>
      <c r="F34" s="91">
        <f>THG!F34/THG!$C34-1</f>
        <v>-0.12521116341776739</v>
      </c>
      <c r="G34" s="91">
        <f>THG!G34/THG!$C34-1</f>
        <v>-0.11960623993053365</v>
      </c>
      <c r="H34" s="91">
        <f>THG!H34/THG!$C34-1</f>
        <v>-0.117015429275801</v>
      </c>
      <c r="I34" s="91">
        <f>THG!I34/THG!$C34-1</f>
        <v>-0.11568356057487317</v>
      </c>
      <c r="J34" s="91">
        <f>THG!J34/THG!$C34-1</f>
        <v>-0.14151835803351154</v>
      </c>
      <c r="K34" s="91">
        <f>THG!K34/THG!$C34-1</f>
        <v>-0.14760184800518705</v>
      </c>
      <c r="L34" s="91">
        <f>THG!L34/THG!$C34-1</f>
        <v>-0.15467600152697492</v>
      </c>
      <c r="M34" s="91">
        <f>THG!M34/THG!$C34-1</f>
        <v>-0.16841564878766413</v>
      </c>
      <c r="N34" s="91">
        <f>THG!N34/THG!$C34-1</f>
        <v>-0.15572687396535945</v>
      </c>
      <c r="O34" s="91">
        <f>THG!O34/THG!$C34-1</f>
        <v>-0.18807124538792819</v>
      </c>
      <c r="P34" s="91">
        <f>THG!P34/THG!$C34-1</f>
        <v>-0.19787754570987581</v>
      </c>
      <c r="Q34" s="91">
        <f>THG!Q34/THG!$C34-1</f>
        <v>-0.21974269724847595</v>
      </c>
      <c r="R34" s="91">
        <f>THG!R34/THG!$C34-1</f>
        <v>-0.22500756479411799</v>
      </c>
      <c r="S34" s="91">
        <f>THG!S34/THG!$C34-1</f>
        <v>-0.24027876306543727</v>
      </c>
      <c r="T34" s="91">
        <f>THG!T34/THG!$C34-1</f>
        <v>-0.23714345366501077</v>
      </c>
      <c r="U34" s="91">
        <f>THG!U34/THG!$C34-1</f>
        <v>-0.23093463187162233</v>
      </c>
      <c r="V34" s="91">
        <f>THG!V34/THG!$C34-1</f>
        <v>-0.23063004908624896</v>
      </c>
      <c r="W34" s="91">
        <f>THG!W34/THG!$C34-1</f>
        <v>-0.2354543714784979</v>
      </c>
      <c r="X34" s="91">
        <f>THG!X34/THG!$C34-1</f>
        <v>-0.24542076753205211</v>
      </c>
      <c r="Y34" s="91">
        <f>THG!Y34/THG!$C34-1</f>
        <v>-0.24523761712417225</v>
      </c>
      <c r="Z34" s="91">
        <f>THG!Z34/THG!$C34-1</f>
        <v>-0.23597355366716577</v>
      </c>
      <c r="AA34" s="91">
        <f>THG!AA34/THG!$C34-1</f>
        <v>-0.22956673976452324</v>
      </c>
      <c r="AB34" s="91">
        <f>THG!AB34/THG!$C34-1</f>
        <v>-0.23131310086588142</v>
      </c>
      <c r="AC34" s="91">
        <f>THG!AC34/THG!$C34-1</f>
        <v>-0.23891765450071356</v>
      </c>
      <c r="AD34" s="91">
        <f>THG!AD34/THG!$C34-1</f>
        <v>-0.24478606022512195</v>
      </c>
      <c r="AE34" s="91">
        <f>THG!AE34/THG!$C34-1</f>
        <v>-0.25606157662663509</v>
      </c>
      <c r="AF34" s="91">
        <f>THG!AF34/THG!$C34-1</f>
        <v>-0.26438862307012401</v>
      </c>
      <c r="AG34" s="91">
        <f>THG!AG34/THG!$C34-1</f>
        <v>-0.27544562755420687</v>
      </c>
      <c r="AH34" s="91">
        <f>THG!AH34/THG!$C34-1</f>
        <v>-0.28922596421258995</v>
      </c>
      <c r="AI34" s="91">
        <f>THG!AI34/THG!$C34-1</f>
        <v>-0.29637595899539304</v>
      </c>
      <c r="AJ34" s="91">
        <f>THG!AJ34/THG!$C34-1</f>
        <v>-0.29757090167654932</v>
      </c>
      <c r="AK34" s="91">
        <f>THG!AK34/THG!$C34-1</f>
        <v>-0.31298969238167185</v>
      </c>
      <c r="AL34" s="91">
        <f>THG!AL34/THG!$C34-1</f>
        <v>-0.312454583472209</v>
      </c>
    </row>
    <row r="35" spans="2:38" s="149" customFormat="1" ht="18.75" customHeight="1">
      <c r="B35" s="18" t="s">
        <v>30</v>
      </c>
      <c r="C35" s="33">
        <f>THG!C35/THG!$C35-1</f>
        <v>0</v>
      </c>
      <c r="D35" s="33">
        <f>THG!D35/THG!$C35-1</f>
        <v>-0.11428187857596572</v>
      </c>
      <c r="E35" s="33">
        <f>THG!E35/THG!$C35-1</f>
        <v>-0.10649746235081337</v>
      </c>
      <c r="F35" s="33">
        <f>THG!F35/THG!$C35-1</f>
        <v>-9.2335346655387229E-2</v>
      </c>
      <c r="G35" s="33">
        <f>THG!G35/THG!$C35-1</f>
        <v>-9.0462645133639108E-2</v>
      </c>
      <c r="H35" s="33">
        <f>THG!H35/THG!$C35-1</f>
        <v>-9.156718272071418E-2</v>
      </c>
      <c r="I35" s="33">
        <f>THG!I35/THG!$C35-1</f>
        <v>-8.3431430832121678E-2</v>
      </c>
      <c r="J35" s="33">
        <f>THG!J35/THG!$C35-1</f>
        <v>-0.10372551635787775</v>
      </c>
      <c r="K35" s="33">
        <f>THG!K35/THG!$C35-1</f>
        <v>-8.6212816170811557E-2</v>
      </c>
      <c r="L35" s="33">
        <f>THG!L35/THG!$C35-1</f>
        <v>-9.9661923331152757E-2</v>
      </c>
      <c r="M35" s="33">
        <f>THG!M35/THG!$C35-1</f>
        <v>-0.10191506350960244</v>
      </c>
      <c r="N35" s="33">
        <f>THG!N35/THG!$C35-1</f>
        <v>-8.5308427692812661E-2</v>
      </c>
      <c r="O35" s="33">
        <f>THG!O35/THG!$C35-1</f>
        <v>-0.10523910026651007</v>
      </c>
      <c r="P35" s="33">
        <f>THG!P35/THG!$C35-1</f>
        <v>-0.13532623781872055</v>
      </c>
      <c r="Q35" s="33">
        <f>THG!Q35/THG!$C35-1</f>
        <v>-0.13383437302345824</v>
      </c>
      <c r="R35" s="33">
        <f>THG!R35/THG!$C35-1</f>
        <v>-0.14254433072756467</v>
      </c>
      <c r="S35" s="33">
        <f>THG!S35/THG!$C35-1</f>
        <v>-0.16568042918365877</v>
      </c>
      <c r="T35" s="33">
        <f>THG!T35/THG!$C35-1</f>
        <v>-0.15401082131309451</v>
      </c>
      <c r="U35" s="33">
        <f>THG!U35/THG!$C35-1</f>
        <v>-0.17228264581687414</v>
      </c>
      <c r="V35" s="33">
        <f>THG!V35/THG!$C35-1</f>
        <v>-0.17710606236890725</v>
      </c>
      <c r="W35" s="33">
        <f>THG!W35/THG!$C35-1</f>
        <v>-0.20347879793727086</v>
      </c>
      <c r="X35" s="33">
        <f>THG!X35/THG!$C35-1</f>
        <v>-0.22458732369633128</v>
      </c>
      <c r="Y35" s="33">
        <f>THG!Y35/THG!$C35-1</f>
        <v>-0.21875851457686579</v>
      </c>
      <c r="Z35" s="33">
        <f>THG!Z35/THG!$C35-1</f>
        <v>-0.21050251119470431</v>
      </c>
      <c r="AA35" s="33">
        <f>THG!AA35/THG!$C35-1</f>
        <v>-0.20675851819918778</v>
      </c>
      <c r="AB35" s="33">
        <f>THG!AB35/THG!$C35-1</f>
        <v>-0.2224155631226471</v>
      </c>
      <c r="AC35" s="33">
        <f>THG!AC35/THG!$C35-1</f>
        <v>-0.21875893817221104</v>
      </c>
      <c r="AD35" s="33">
        <f>THG!AD35/THG!$C35-1</f>
        <v>-0.20557872284133261</v>
      </c>
      <c r="AE35" s="33">
        <f>THG!AE35/THG!$C35-1</f>
        <v>-0.25726169045555713</v>
      </c>
      <c r="AF35" s="33">
        <f>THG!AF35/THG!$C35-1</f>
        <v>-0.24115288547269709</v>
      </c>
      <c r="AG35" s="33">
        <f>THG!AG35/THG!$C35-1</f>
        <v>-0.25782874067817452</v>
      </c>
      <c r="AH35" s="33">
        <f>THG!AH35/THG!$C35-1</f>
        <v>-0.27342857428006195</v>
      </c>
      <c r="AI35" s="33">
        <f>THG!AI35/THG!$C35-1</f>
        <v>-0.33410569736357787</v>
      </c>
      <c r="AJ35" s="33">
        <f>THG!AJ35/THG!$C35-1</f>
        <v>-0.29421199530295195</v>
      </c>
      <c r="AK35" s="33">
        <f>THG!AK35/THG!$C35-1</f>
        <v>-0.30093162593291145</v>
      </c>
      <c r="AL35" s="33">
        <f>THG!AL35/THG!$C35-1</f>
        <v>-0.32937704884105679</v>
      </c>
    </row>
    <row r="36" spans="2:38" s="149" customFormat="1" ht="18.75" customHeight="1">
      <c r="B36" s="89" t="s">
        <v>31</v>
      </c>
      <c r="C36" s="91">
        <f>THG!C36/THG!$C36-1</f>
        <v>0</v>
      </c>
      <c r="D36" s="91">
        <f>THG!D36/THG!$C36-1</f>
        <v>-9.4232347050629217E-2</v>
      </c>
      <c r="E36" s="91">
        <f>THG!E36/THG!$C36-1</f>
        <v>-7.3966082179672488E-2</v>
      </c>
      <c r="F36" s="91">
        <f>THG!F36/THG!$C36-1</f>
        <v>-0.13160013032143714</v>
      </c>
      <c r="G36" s="91">
        <f>THG!G36/THG!$C36-1</f>
        <v>-0.10605499753516656</v>
      </c>
      <c r="H36" s="91">
        <f>THG!H36/THG!$C36-1</f>
        <v>-0.12566307634583906</v>
      </c>
      <c r="I36" s="91">
        <f>THG!I36/THG!$C36-1</f>
        <v>-0.13758639592783195</v>
      </c>
      <c r="J36" s="91">
        <f>THG!J36/THG!$C36-1</f>
        <v>-0.12150440329546108</v>
      </c>
      <c r="K36" s="91">
        <f>THG!K36/THG!$C36-1</f>
        <v>-0.12133192453045716</v>
      </c>
      <c r="L36" s="91">
        <f>THG!L36/THG!$C36-1</f>
        <v>-0.10577401284791776</v>
      </c>
      <c r="M36" s="91">
        <f>THG!M36/THG!$C36-1</f>
        <v>-8.7654810290358487E-2</v>
      </c>
      <c r="N36" s="91">
        <f>THG!N36/THG!$C36-1</f>
        <v>-0.12353086432455818</v>
      </c>
      <c r="O36" s="91">
        <f>THG!O36/THG!$C36-1</f>
        <v>-8.5559109376750486E-2</v>
      </c>
      <c r="P36" s="91">
        <f>THG!P36/THG!$C36-1</f>
        <v>-0.18314118228539045</v>
      </c>
      <c r="Q36" s="91">
        <f>THG!Q36/THG!$C36-1</f>
        <v>-0.12991999505490481</v>
      </c>
      <c r="R36" s="91">
        <f>THG!R36/THG!$C36-1</f>
        <v>-0.13346375595935067</v>
      </c>
      <c r="S36" s="91">
        <f>THG!S36/THG!$C36-1</f>
        <v>-0.13895576933732834</v>
      </c>
      <c r="T36" s="91">
        <f>THG!T36/THG!$C36-1</f>
        <v>-0.1058148680086991</v>
      </c>
      <c r="U36" s="91">
        <f>THG!U36/THG!$C36-1</f>
        <v>-0.16724059750230313</v>
      </c>
      <c r="V36" s="91">
        <f>THG!V36/THG!$C36-1</f>
        <v>-0.14762571931589741</v>
      </c>
      <c r="W36" s="91">
        <f>THG!W36/THG!$C36-1</f>
        <v>-0.14296603832830801</v>
      </c>
      <c r="X36" s="91">
        <f>THG!X36/THG!$C36-1</f>
        <v>-0.13313393459747691</v>
      </c>
      <c r="Y36" s="91">
        <f>THG!Y36/THG!$C36-1</f>
        <v>-0.13683722467229231</v>
      </c>
      <c r="Z36" s="91">
        <f>THG!Z36/THG!$C36-1</f>
        <v>-0.10537040613590054</v>
      </c>
      <c r="AA36" s="91">
        <f>THG!AA36/THG!$C36-1</f>
        <v>-9.3316116508184499E-2</v>
      </c>
      <c r="AB36" s="91">
        <f>THG!AB36/THG!$C36-1</f>
        <v>-0.11775989131101994</v>
      </c>
      <c r="AC36" s="91">
        <f>THG!AC36/THG!$C36-1</f>
        <v>-9.1285094202799844E-2</v>
      </c>
      <c r="AD36" s="91">
        <f>THG!AD36/THG!$C36-1</f>
        <v>-9.3019719364916487E-2</v>
      </c>
      <c r="AE36" s="91">
        <f>THG!AE36/THG!$C36-1</f>
        <v>-0.18176781301876388</v>
      </c>
      <c r="AF36" s="91">
        <f>THG!AF36/THG!$C36-1</f>
        <v>-0.17297719811418588</v>
      </c>
      <c r="AG36" s="91">
        <f>THG!AG36/THG!$C36-1</f>
        <v>-0.20682946966216387</v>
      </c>
      <c r="AH36" s="91">
        <f>THG!AH36/THG!$C36-1</f>
        <v>-0.20554119451461117</v>
      </c>
      <c r="AI36" s="91">
        <f>THG!AI36/THG!$C36-1</f>
        <v>-0.25794310255764419</v>
      </c>
      <c r="AJ36" s="91">
        <f>THG!AJ36/THG!$C36-1</f>
        <v>-0.22886955942339948</v>
      </c>
      <c r="AK36" s="91">
        <f>THG!AK36/THG!$C36-1</f>
        <v>-0.28678451397185278</v>
      </c>
      <c r="AL36" s="91">
        <f>THG!AL36/THG!$C36-1</f>
        <v>-0.28199287706959852</v>
      </c>
    </row>
    <row r="37" spans="2:38" s="149" customFormat="1" ht="18.75" customHeight="1">
      <c r="B37" s="18" t="s">
        <v>32</v>
      </c>
      <c r="C37" s="33">
        <f>THG!C37/THG!$C37-1</f>
        <v>0</v>
      </c>
      <c r="D37" s="33">
        <f>THG!D37/THG!$C37-1</f>
        <v>-9.7014630720982931E-2</v>
      </c>
      <c r="E37" s="33">
        <f>THG!E37/THG!$C37-1</f>
        <v>-0.20501937567957695</v>
      </c>
      <c r="F37" s="33">
        <f>THG!F37/THG!$C37-1</f>
        <v>-0.3339881070819346</v>
      </c>
      <c r="G37" s="33">
        <f>THG!G37/THG!$C37-1</f>
        <v>-0.39786264964419382</v>
      </c>
      <c r="H37" s="33">
        <f>THG!H37/THG!$C37-1</f>
        <v>-0.41830118622372525</v>
      </c>
      <c r="I37" s="33">
        <f>THG!I37/THG!$C37-1</f>
        <v>-0.37258563647219933</v>
      </c>
      <c r="J37" s="33">
        <f>THG!J37/THG!$C37-1</f>
        <v>-0.32723550326159823</v>
      </c>
      <c r="K37" s="33">
        <f>THG!K37/THG!$C37-1</f>
        <v>-0.27807667346676745</v>
      </c>
      <c r="L37" s="33">
        <f>THG!L37/THG!$C37-1</f>
        <v>-0.22048142165656526</v>
      </c>
      <c r="M37" s="33">
        <f>THG!M37/THG!$C37-1</f>
        <v>-0.22937098845935522</v>
      </c>
      <c r="N37" s="33">
        <f>THG!N37/THG!$C37-1</f>
        <v>-0.22987332930182069</v>
      </c>
      <c r="O37" s="33">
        <f>THG!O37/THG!$C37-1</f>
        <v>-0.27631286936352484</v>
      </c>
      <c r="P37" s="33">
        <f>THG!P37/THG!$C37-1</f>
        <v>-0.28716675464155805</v>
      </c>
      <c r="Q37" s="33">
        <f>THG!Q37/THG!$C37-1</f>
        <v>-0.32615214353026589</v>
      </c>
      <c r="R37" s="33">
        <f>THG!R37/THG!$C37-1</f>
        <v>-0.35113318172687735</v>
      </c>
      <c r="S37" s="33">
        <f>THG!S37/THG!$C37-1</f>
        <v>-0.34614034672545713</v>
      </c>
      <c r="T37" s="33">
        <f>THG!T37/THG!$C37-1</f>
        <v>-0.32857897469365172</v>
      </c>
      <c r="U37" s="33">
        <f>THG!U37/THG!$C37-1</f>
        <v>-0.29786042626536946</v>
      </c>
      <c r="V37" s="33">
        <f>THG!V37/THG!$C37-1</f>
        <v>-0.30819935967707723</v>
      </c>
      <c r="W37" s="33">
        <f>THG!W37/THG!$C37-1</f>
        <v>-0.29591164476042453</v>
      </c>
      <c r="X37" s="33">
        <f>THG!X37/THG!$C37-1</f>
        <v>-0.2757921505669656</v>
      </c>
      <c r="Y37" s="33">
        <f>THG!Y37/THG!$C37-1</f>
        <v>-0.23087383795100735</v>
      </c>
      <c r="Z37" s="33">
        <f>THG!Z37/THG!$C37-1</f>
        <v>-0.17067157187834492</v>
      </c>
      <c r="AA37" s="33">
        <f>THG!AA37/THG!$C37-1</f>
        <v>-0.12852363147623236</v>
      </c>
      <c r="AB37" s="33">
        <f>THG!AB37/THG!$C37-1</f>
        <v>-0.13373590105115107</v>
      </c>
      <c r="AC37" s="33">
        <f>THG!AC37/THG!$C37-1</f>
        <v>-0.14465306802516187</v>
      </c>
      <c r="AD37" s="33">
        <f>THG!AD37/THG!$C37-1</f>
        <v>-0.11926213567989064</v>
      </c>
      <c r="AE37" s="33">
        <f>THG!AE37/THG!$C37-1</f>
        <v>-6.9350030590751066E-2</v>
      </c>
      <c r="AF37" s="33">
        <f>THG!AF37/THG!$C37-1</f>
        <v>-7.3259252455445845E-2</v>
      </c>
      <c r="AG37" s="33">
        <f>THG!AG37/THG!$C37-1</f>
        <v>-8.6469003538096612E-2</v>
      </c>
      <c r="AH37" s="33">
        <f>THG!AH37/THG!$C37-1</f>
        <v>-9.8815190108390905E-2</v>
      </c>
      <c r="AI37" s="33">
        <f>THG!AI37/THG!$C37-1</f>
        <v>-9.335798996998701E-2</v>
      </c>
      <c r="AJ37" s="33">
        <f>THG!AJ37/THG!$C37-1</f>
        <v>-0.11878326438060538</v>
      </c>
      <c r="AK37" s="33">
        <f>THG!AK37/THG!$C37-1</f>
        <v>-0.13341078191413402</v>
      </c>
      <c r="AL37" s="33">
        <f>THG!AL37/THG!$C37-1</f>
        <v>-2.0232896387003096E-2</v>
      </c>
    </row>
    <row r="38" spans="2:38" s="149" customFormat="1" ht="18.75" customHeight="1">
      <c r="B38" s="89" t="s">
        <v>33</v>
      </c>
      <c r="C38" s="91">
        <f>THG!C38/THG!$C38-1</f>
        <v>0</v>
      </c>
      <c r="D38" s="91">
        <f>THG!D38/THG!$C38-1</f>
        <v>-8.9396044014122045E-2</v>
      </c>
      <c r="E38" s="91">
        <f>THG!E38/THG!$C38-1</f>
        <v>-0.10924658444288793</v>
      </c>
      <c r="F38" s="91">
        <f>THG!F38/THG!$C38-1</f>
        <v>-0.12054614893067661</v>
      </c>
      <c r="G38" s="91">
        <f>THG!G38/THG!$C38-1</f>
        <v>-6.5469211960165863E-2</v>
      </c>
      <c r="H38" s="91">
        <f>THG!H38/THG!$C38-1</f>
        <v>-4.4718261957106931E-2</v>
      </c>
      <c r="I38" s="91">
        <f>THG!I38/THG!$C38-1</f>
        <v>9.9415394498123533E-3</v>
      </c>
      <c r="J38" s="91">
        <f>THG!J38/THG!$C38-1</f>
        <v>3.7095744816253662E-2</v>
      </c>
      <c r="K38" s="91">
        <f>THG!K38/THG!$C38-1</f>
        <v>9.188868203842282E-2</v>
      </c>
      <c r="L38" s="91">
        <f>THG!L38/THG!$C38-1</f>
        <v>0.14908187927392436</v>
      </c>
      <c r="M38" s="91">
        <f>THG!M38/THG!$C38-1</f>
        <v>0.23569422409064189</v>
      </c>
      <c r="N38" s="91">
        <f>THG!N38/THG!$C38-1</f>
        <v>0.29512017080792674</v>
      </c>
      <c r="O38" s="91">
        <f>THG!O38/THG!$C38-1</f>
        <v>0.33324278504925253</v>
      </c>
      <c r="P38" s="91">
        <f>THG!P38/THG!$C38-1</f>
        <v>0.35438406317415949</v>
      </c>
      <c r="Q38" s="91">
        <f>THG!Q38/THG!$C38-1</f>
        <v>0.32148374715778605</v>
      </c>
      <c r="R38" s="91">
        <f>THG!R38/THG!$C38-1</f>
        <v>0.33561958286005811</v>
      </c>
      <c r="S38" s="91">
        <f>THG!S38/THG!$C38-1</f>
        <v>0.31445047734378107</v>
      </c>
      <c r="T38" s="91">
        <f>THG!T38/THG!$C38-1</f>
        <v>0.34909083185273881</v>
      </c>
      <c r="U38" s="91">
        <f>THG!U38/THG!$C38-1</f>
        <v>0.44715065539479548</v>
      </c>
      <c r="V38" s="91">
        <f>THG!V38/THG!$C38-1</f>
        <v>0.40991415676625742</v>
      </c>
      <c r="W38" s="91">
        <f>THG!W38/THG!$C38-1</f>
        <v>0.48074393123712422</v>
      </c>
      <c r="X38" s="91">
        <f>THG!X38/THG!$C38-1</f>
        <v>0.36256699160647932</v>
      </c>
      <c r="Y38" s="91">
        <f>THG!Y38/THG!$C38-1</f>
        <v>0.43731117094955785</v>
      </c>
      <c r="Z38" s="91">
        <f>THG!Z38/THG!$C38-1</f>
        <v>0.40115394356786149</v>
      </c>
      <c r="AA38" s="91">
        <f>THG!AA38/THG!$C38-1</f>
        <v>0.56189335145367258</v>
      </c>
      <c r="AB38" s="91">
        <f>THG!AB38/THG!$C38-1</f>
        <v>0.64895639361559443</v>
      </c>
      <c r="AC38" s="91">
        <f>THG!AC38/THG!$C38-1</f>
        <v>0.69822147458828243</v>
      </c>
      <c r="AD38" s="91">
        <f>THG!AD38/THG!$C38-1</f>
        <v>0.49910463968052499</v>
      </c>
      <c r="AE38" s="91">
        <f>THG!AE38/THG!$C38-1</f>
        <v>0.26094524516345752</v>
      </c>
      <c r="AF38" s="91">
        <f>THG!AF38/THG!$C38-1</f>
        <v>3.698061532859076E-2</v>
      </c>
      <c r="AG38" s="91">
        <f>THG!AG38/THG!$C38-1</f>
        <v>-9.7359204010521672E-2</v>
      </c>
      <c r="AH38" s="91">
        <f>THG!AH38/THG!$C38-1</f>
        <v>-0.17229544784322259</v>
      </c>
      <c r="AI38" s="91">
        <f>THG!AI38/THG!$C38-1</f>
        <v>-0.2354142705295228</v>
      </c>
      <c r="AJ38" s="91">
        <f>THG!AJ38/THG!$C38-1</f>
        <v>-0.27601680810555573</v>
      </c>
      <c r="AK38" s="91">
        <f>THG!AK38/THG!$C38-1</f>
        <v>-0.31207636629662538</v>
      </c>
      <c r="AL38" s="91">
        <f>THG!AL38/THG!$C38-1</f>
        <v>-0.31364234616241637</v>
      </c>
    </row>
    <row r="39" spans="2:38" s="149" customFormat="1" ht="18.75" customHeight="1">
      <c r="B39" s="18" t="s">
        <v>34</v>
      </c>
      <c r="C39" s="33">
        <f>THG!C39/THG!$C39-1</f>
        <v>0</v>
      </c>
      <c r="D39" s="33">
        <f>THG!D39/THG!$C39-1</f>
        <v>-7.2095561175770762E-2</v>
      </c>
      <c r="E39" s="33">
        <f>THG!E39/THG!$C39-1</f>
        <v>-0.12072140554483535</v>
      </c>
      <c r="F39" s="33">
        <f>THG!F39/THG!$C39-1</f>
        <v>-0.18659453120941905</v>
      </c>
      <c r="G39" s="33">
        <f>THG!G39/THG!$C39-1</f>
        <v>-0.21228595595577815</v>
      </c>
      <c r="H39" s="33">
        <f>THG!H39/THG!$C39-1</f>
        <v>-0.23695321270077885</v>
      </c>
      <c r="I39" s="33">
        <f>THG!I39/THG!$C39-1</f>
        <v>-0.23474335480039732</v>
      </c>
      <c r="J39" s="33">
        <f>THG!J39/THG!$C39-1</f>
        <v>-0.26056223524291144</v>
      </c>
      <c r="K39" s="33">
        <f>THG!K39/THG!$C39-1</f>
        <v>-0.27396394653156897</v>
      </c>
      <c r="L39" s="33">
        <f>THG!L39/THG!$C39-1</f>
        <v>-0.26028904931141372</v>
      </c>
      <c r="M39" s="33">
        <f>THG!M39/THG!$C39-1</f>
        <v>-0.28174986961965698</v>
      </c>
      <c r="N39" s="33">
        <f>THG!N39/THG!$C39-1</f>
        <v>-0.31625318960116289</v>
      </c>
      <c r="O39" s="33">
        <f>THG!O39/THG!$C39-1</f>
        <v>-0.37349601595840565</v>
      </c>
      <c r="P39" s="33">
        <f>THG!P39/THG!$C39-1</f>
        <v>-0.38844643108690091</v>
      </c>
      <c r="Q39" s="33">
        <f>THG!Q39/THG!$C39-1</f>
        <v>-0.39312568587490804</v>
      </c>
      <c r="R39" s="33">
        <f>THG!R39/THG!$C39-1</f>
        <v>-0.39752395621896097</v>
      </c>
      <c r="S39" s="33">
        <f>THG!S39/THG!$C39-1</f>
        <v>-0.4401741167827562</v>
      </c>
      <c r="T39" s="33">
        <f>THG!T39/THG!$C39-1</f>
        <v>-0.44575529969308136</v>
      </c>
      <c r="U39" s="33">
        <f>THG!U39/THG!$C39-1</f>
        <v>-0.4892169762852504</v>
      </c>
      <c r="V39" s="33">
        <f>THG!V39/THG!$C39-1</f>
        <v>-0.47640257846814071</v>
      </c>
      <c r="W39" s="33">
        <f>THG!W39/THG!$C39-1</f>
        <v>-0.49605564340481823</v>
      </c>
      <c r="X39" s="33">
        <f>THG!X39/THG!$C39-1</f>
        <v>-0.48260421768751338</v>
      </c>
      <c r="Y39" s="33">
        <f>THG!Y39/THG!$C39-1</f>
        <v>-0.50256458639041779</v>
      </c>
      <c r="Z39" s="33">
        <f>THG!Z39/THG!$C39-1</f>
        <v>-0.5292595630022936</v>
      </c>
      <c r="AA39" s="33">
        <f>THG!AA39/THG!$C39-1</f>
        <v>-0.53722338606237185</v>
      </c>
      <c r="AB39" s="33">
        <f>THG!AB39/THG!$C39-1</f>
        <v>-0.54809648164349412</v>
      </c>
      <c r="AC39" s="33">
        <f>THG!AC39/THG!$C39-1</f>
        <v>-0.5578073792334779</v>
      </c>
      <c r="AD39" s="33">
        <f>THG!AD39/THG!$C39-1</f>
        <v>-0.58264732289172294</v>
      </c>
      <c r="AE39" s="33">
        <f>THG!AE39/THG!$C39-1</f>
        <v>-0.60287965910283392</v>
      </c>
      <c r="AF39" s="33">
        <f>THG!AF39/THG!$C39-1</f>
        <v>-0.61951500563922668</v>
      </c>
      <c r="AG39" s="33">
        <f>THG!AG39/THG!$C39-1</f>
        <v>-0.63667259805066401</v>
      </c>
      <c r="AH39" s="33">
        <f>THG!AH39/THG!$C39-1</f>
        <v>-0.65609122498527839</v>
      </c>
      <c r="AI39" s="33">
        <f>THG!AI39/THG!$C39-1</f>
        <v>-0.69148258228779225</v>
      </c>
      <c r="AJ39" s="33">
        <f>THG!AJ39/THG!$C39-1</f>
        <v>-0.71043428295414346</v>
      </c>
      <c r="AK39" s="33">
        <f>THG!AK39/THG!$C39-1</f>
        <v>-0.71642268602970416</v>
      </c>
      <c r="AL39" s="33">
        <f>THG!AL39/THG!$C39-1</f>
        <v>-0.70148372472929932</v>
      </c>
    </row>
    <row r="40" spans="2:38" s="149" customFormat="1" ht="18.75" customHeight="1">
      <c r="B40" s="89" t="s">
        <v>35</v>
      </c>
      <c r="C40" s="91">
        <f>THG!C40/THG!$C40-1</f>
        <v>0</v>
      </c>
      <c r="D40" s="91">
        <f>THG!D40/THG!$C40-1</f>
        <v>1.4131415135339123</v>
      </c>
      <c r="E40" s="91">
        <f>THG!E40/THG!$C40-1</f>
        <v>2.2546461415102081</v>
      </c>
      <c r="F40" s="91">
        <f>THG!F40/THG!$C40-1</f>
        <v>3.2348081948185703</v>
      </c>
      <c r="G40" s="91">
        <f>THG!G40/THG!$C40-1</f>
        <v>4.1988443263980546</v>
      </c>
      <c r="H40" s="91">
        <f>THG!H40/THG!$C40-1</f>
        <v>11.580376941674359</v>
      </c>
      <c r="I40" s="91">
        <f>THG!I40/THG!$C40-1</f>
        <v>19.868592663527011</v>
      </c>
      <c r="J40" s="91">
        <f>THG!J40/THG!$C40-1</f>
        <v>25.280667220595156</v>
      </c>
      <c r="K40" s="91">
        <f>THG!K40/THG!$C40-1</f>
        <v>58.321818103379854</v>
      </c>
      <c r="L40" s="91">
        <f>THG!L40/THG!$C40-1</f>
        <v>66.202357213004603</v>
      </c>
      <c r="M40" s="91">
        <f>THG!M40/THG!$C40-1</f>
        <v>105.54140169178528</v>
      </c>
      <c r="N40" s="91">
        <f>THG!N40/THG!$C40-1</f>
        <v>150.06512314361532</v>
      </c>
      <c r="O40" s="91">
        <f>THG!O40/THG!$C40-1</f>
        <v>215.76419105284168</v>
      </c>
      <c r="P40" s="91">
        <f>THG!P40/THG!$C40-1</f>
        <v>252.73344165243739</v>
      </c>
      <c r="Q40" s="91">
        <f>THG!Q40/THG!$C40-1</f>
        <v>328.26307278557522</v>
      </c>
      <c r="R40" s="91">
        <f>THG!R40/THG!$C40-1</f>
        <v>870.1780417042678</v>
      </c>
      <c r="S40" s="91">
        <f>THG!S40/THG!$C40-1</f>
        <v>1187.7568873524194</v>
      </c>
      <c r="T40" s="91">
        <f>THG!T40/THG!$C40-1</f>
        <v>1580.7278580816253</v>
      </c>
      <c r="U40" s="91">
        <f>THG!U40/THG!$C40-1</f>
        <v>1788.3938328703862</v>
      </c>
      <c r="V40" s="91">
        <f>THG!V40/THG!$C40-1</f>
        <v>2229.490724147468</v>
      </c>
      <c r="W40" s="91">
        <f>THG!W40/THG!$C40-1</f>
        <v>2725.1882427629516</v>
      </c>
      <c r="X40" s="91">
        <f>THG!X40/THG!$C40-1</f>
        <v>3286.833345916365</v>
      </c>
      <c r="Y40" s="91">
        <f>THG!Y40/THG!$C40-1</f>
        <v>3339.3965368861154</v>
      </c>
      <c r="Z40" s="91">
        <f>THG!Z40/THG!$C40-1</f>
        <v>3998.0746349088099</v>
      </c>
      <c r="AA40" s="91">
        <f>THG!AA40/THG!$C40-1</f>
        <v>4125.6310270514505</v>
      </c>
      <c r="AB40" s="91">
        <f>THG!AB40/THG!$C40-1</f>
        <v>4226.3849987474896</v>
      </c>
      <c r="AC40" s="91">
        <f>THG!AC40/THG!$C40-1</f>
        <v>4150.9868500429193</v>
      </c>
      <c r="AD40" s="91">
        <f>THG!AD40/THG!$C40-1</f>
        <v>4037.947398344626</v>
      </c>
      <c r="AE40" s="91">
        <f>THG!AE40/THG!$C40-1</f>
        <v>3911.055791003198</v>
      </c>
      <c r="AF40" s="91">
        <f>THG!AF40/THG!$C40-1</f>
        <v>3812.9480560961092</v>
      </c>
      <c r="AG40" s="91">
        <f>THG!AG40/THG!$C40-1</f>
        <v>3787.1589134500887</v>
      </c>
      <c r="AH40" s="91">
        <f>THG!AH40/THG!$C40-1</f>
        <v>3611.4695615075771</v>
      </c>
      <c r="AI40" s="91">
        <f>THG!AI40/THG!$C40-1</f>
        <v>3888.294958027504</v>
      </c>
      <c r="AJ40" s="91">
        <f>THG!AJ40/THG!$C40-1</f>
        <v>3662.5189616658813</v>
      </c>
      <c r="AK40" s="91">
        <f>THG!AK40/THG!$C40-1</f>
        <v>3662.6374334785937</v>
      </c>
      <c r="AL40" s="91">
        <f>THG!AL40/THG!$C40-1</f>
        <v>3657.1955181729304</v>
      </c>
    </row>
    <row r="41" spans="2:38" s="149" customFormat="1" ht="18.75" customHeight="1">
      <c r="B41" s="1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2:38" s="10" customFormat="1" ht="18.75" customHeight="1">
      <c r="B42" s="152" t="s">
        <v>16</v>
      </c>
      <c r="C42" s="30">
        <f>THG!C42/THG!$C42-1</f>
        <v>0</v>
      </c>
      <c r="D42" s="30">
        <f>THG!D42/THG!$C42-1</f>
        <v>3.721229730008635E-2</v>
      </c>
      <c r="E42" s="30">
        <f>THG!E42/THG!$C42-1</f>
        <v>5.1512246800135664E-2</v>
      </c>
      <c r="F42" s="30">
        <f>THG!F42/THG!$C42-1</f>
        <v>4.4774417310311732E-2</v>
      </c>
      <c r="G42" s="30">
        <f>THG!G42/THG!$C42-1</f>
        <v>1.881121073754044E-2</v>
      </c>
      <c r="H42" s="30">
        <f>THG!H42/THG!$C42-1</f>
        <v>-1.1685970109501342E-2</v>
      </c>
      <c r="I42" s="30">
        <f>THG!I42/THG!$C42-1</f>
        <v>-5.4889846480799975E-2</v>
      </c>
      <c r="J42" s="30">
        <f>THG!J42/THG!$C42-1</f>
        <v>-0.13443923745224029</v>
      </c>
      <c r="K42" s="30">
        <f>THG!K42/THG!$C42-1</f>
        <v>-0.19535085436967348</v>
      </c>
      <c r="L42" s="30">
        <f>THG!L42/THG!$C42-1</f>
        <v>-0.24315620951375305</v>
      </c>
      <c r="M42" s="30">
        <f>THG!M42/THG!$C42-1</f>
        <v>-0.28827167644471352</v>
      </c>
      <c r="N42" s="30">
        <f>THG!N42/THG!$C42-1</f>
        <v>-0.33649380987057209</v>
      </c>
      <c r="O42" s="30">
        <f>THG!O42/THG!$C42-1</f>
        <v>-0.37790828268742238</v>
      </c>
      <c r="P42" s="30">
        <f>THG!P42/THG!$C42-1</f>
        <v>-0.42088692032762998</v>
      </c>
      <c r="Q42" s="30">
        <f>THG!Q42/THG!$C42-1</f>
        <v>-0.482813240625238</v>
      </c>
      <c r="R42" s="30">
        <f>THG!R42/THG!$C42-1</f>
        <v>-0.52273022944012348</v>
      </c>
      <c r="S42" s="30">
        <f>THG!S42/THG!$C42-1</f>
        <v>-0.57260597272116576</v>
      </c>
      <c r="T42" s="30">
        <f>THG!T42/THG!$C42-1</f>
        <v>-0.60922556611553125</v>
      </c>
      <c r="U42" s="30">
        <f>THG!U42/THG!$C42-1</f>
        <v>-0.64285930632580057</v>
      </c>
      <c r="V42" s="30">
        <f>THG!V42/THG!$C42-1</f>
        <v>-0.67640383345595489</v>
      </c>
      <c r="W42" s="30">
        <f>THG!W42/THG!$C42-1</f>
        <v>-0.70657302743779371</v>
      </c>
      <c r="X42" s="30">
        <f>THG!X42/THG!$C42-1</f>
        <v>-0.72781576063620423</v>
      </c>
      <c r="Y42" s="30">
        <f>THG!Y42/THG!$C42-1</f>
        <v>-0.74769191796289158</v>
      </c>
      <c r="Z42" s="30">
        <f>THG!Z42/THG!$C42-1</f>
        <v>-0.76684278618536872</v>
      </c>
      <c r="AA42" s="30">
        <f>THG!AA42/THG!$C42-1</f>
        <v>-0.78189463118595692</v>
      </c>
      <c r="AB42" s="30">
        <f>THG!AB42/THG!$C42-1</f>
        <v>-0.79678858922211759</v>
      </c>
      <c r="AC42" s="30">
        <f>THG!AC42/THG!$C42-1</f>
        <v>-0.80976326838110313</v>
      </c>
      <c r="AD42" s="30">
        <f>THG!AD42/THG!$C42-1</f>
        <v>-0.81887390288393958</v>
      </c>
      <c r="AE42" s="30">
        <f>THG!AE42/THG!$C42-1</f>
        <v>-0.82836968650782583</v>
      </c>
      <c r="AF42" s="30">
        <f>THG!AF42/THG!$C42-1</f>
        <v>-0.84100383727897943</v>
      </c>
      <c r="AG42" s="30">
        <f>THG!AG42/THG!$C42-1</f>
        <v>-0.8527507831705422</v>
      </c>
      <c r="AH42" s="30">
        <f>THG!AH42/THG!$C42-1</f>
        <v>-0.85778074093198953</v>
      </c>
      <c r="AI42" s="30">
        <f>THG!AI42/THG!$C42-1</f>
        <v>-0.86402442704357996</v>
      </c>
      <c r="AJ42" s="30">
        <f>THG!AJ42/THG!$C42-1</f>
        <v>-0.86885069599774067</v>
      </c>
      <c r="AK42" s="30">
        <f>THG!AK42/THG!$C42-1</f>
        <v>-0.87298956787454762</v>
      </c>
      <c r="AL42" s="30">
        <f>THG!AL42/THG!$C42-1</f>
        <v>-0.87669156975447082</v>
      </c>
    </row>
    <row r="43" spans="2:38" s="149" customFormat="1" ht="18.75" customHeight="1">
      <c r="B43" s="18" t="s">
        <v>19</v>
      </c>
      <c r="C43" s="33">
        <f>THG!C43/THG!$C43-1</f>
        <v>0</v>
      </c>
      <c r="D43" s="33">
        <f>THG!D43/THG!$C43-1</f>
        <v>5.7305088841859808E-2</v>
      </c>
      <c r="E43" s="33">
        <f>THG!E43/THG!$C43-1</f>
        <v>8.2730852943590172E-2</v>
      </c>
      <c r="F43" s="33">
        <f>THG!F43/THG!$C43-1</f>
        <v>7.9668950106869252E-2</v>
      </c>
      <c r="G43" s="33">
        <f>THG!G43/THG!$C43-1</f>
        <v>5.4356115787658865E-2</v>
      </c>
      <c r="H43" s="33">
        <f>THG!H43/THG!$C43-1</f>
        <v>1.7905393451126628E-2</v>
      </c>
      <c r="I43" s="33">
        <f>THG!I43/THG!$C43-1</f>
        <v>-3.0416507623889699E-2</v>
      </c>
      <c r="J43" s="33">
        <f>THG!J43/THG!$C43-1</f>
        <v>-0.11828566567213183</v>
      </c>
      <c r="K43" s="33">
        <f>THG!K43/THG!$C43-1</f>
        <v>-0.18547662767577711</v>
      </c>
      <c r="L43" s="33">
        <f>THG!L43/THG!$C43-1</f>
        <v>-0.24087621465391917</v>
      </c>
      <c r="M43" s="33">
        <f>THG!M43/THG!$C43-1</f>
        <v>-0.2936091530341598</v>
      </c>
      <c r="N43" s="33">
        <f>THG!N43/THG!$C43-1</f>
        <v>-0.34773715066112865</v>
      </c>
      <c r="O43" s="33">
        <f>THG!O43/THG!$C43-1</f>
        <v>-0.39664854520089832</v>
      </c>
      <c r="P43" s="33">
        <f>THG!P43/THG!$C43-1</f>
        <v>-0.444272540219942</v>
      </c>
      <c r="Q43" s="33">
        <f>THG!Q43/THG!$C43-1</f>
        <v>-0.51349623830894431</v>
      </c>
      <c r="R43" s="33">
        <f>THG!R43/THG!$C43-1</f>
        <v>-0.56009558376792479</v>
      </c>
      <c r="S43" s="33">
        <f>THG!S43/THG!$C43-1</f>
        <v>-0.60982233133748776</v>
      </c>
      <c r="T43" s="33">
        <f>THG!T43/THG!$C43-1</f>
        <v>-0.65127659590486497</v>
      </c>
      <c r="U43" s="33">
        <f>THG!U43/THG!$C43-1</f>
        <v>-0.68773258829791484</v>
      </c>
      <c r="V43" s="33">
        <f>THG!V43/THG!$C43-1</f>
        <v>-0.72487218230781791</v>
      </c>
      <c r="W43" s="33">
        <f>THG!W43/THG!$C43-1</f>
        <v>-0.75759923328206324</v>
      </c>
      <c r="X43" s="33">
        <f>THG!X43/THG!$C43-1</f>
        <v>-0.7830799565446197</v>
      </c>
      <c r="Y43" s="33">
        <f>THG!Y43/THG!$C43-1</f>
        <v>-0.80551232854435773</v>
      </c>
      <c r="Z43" s="33">
        <f>THG!Z43/THG!$C43-1</f>
        <v>-0.82600080255432107</v>
      </c>
      <c r="AA43" s="33">
        <f>THG!AA43/THG!$C43-1</f>
        <v>-0.84414033708787217</v>
      </c>
      <c r="AB43" s="33">
        <f>THG!AB43/THG!$C43-1</f>
        <v>-0.86040147290551017</v>
      </c>
      <c r="AC43" s="33">
        <f>THG!AC43/THG!$C43-1</f>
        <v>-0.87477743422028387</v>
      </c>
      <c r="AD43" s="33">
        <f>THG!AD43/THG!$C43-1</f>
        <v>-0.88480785750369473</v>
      </c>
      <c r="AE43" s="33">
        <f>THG!AE43/THG!$C43-1</f>
        <v>-0.89393785398781411</v>
      </c>
      <c r="AF43" s="33">
        <f>THG!AF43/THG!$C43-1</f>
        <v>-0.90786209617250857</v>
      </c>
      <c r="AG43" s="33">
        <f>THG!AG43/THG!$C43-1</f>
        <v>-0.92005926554986639</v>
      </c>
      <c r="AH43" s="33">
        <f>THG!AH43/THG!$C43-1</f>
        <v>-0.92779194419160715</v>
      </c>
      <c r="AI43" s="33">
        <f>THG!AI43/THG!$C43-1</f>
        <v>-0.93461094560624092</v>
      </c>
      <c r="AJ43" s="33">
        <f>THG!AJ43/THG!$C43-1</f>
        <v>-0.94074197878576393</v>
      </c>
      <c r="AK43" s="33">
        <f>THG!AK43/THG!$C43-1</f>
        <v>-0.94630038268138972</v>
      </c>
      <c r="AL43" s="33">
        <f>THG!AL43/THG!$C43-1</f>
        <v>-0.95036736058253701</v>
      </c>
    </row>
    <row r="44" spans="2:38" s="149" customFormat="1" ht="18.75" customHeight="1">
      <c r="B44" s="89" t="s">
        <v>71</v>
      </c>
      <c r="C44" s="91">
        <f>THG!C44/THG!$C44-1</f>
        <v>0</v>
      </c>
      <c r="D44" s="91">
        <f>THG!D44/THG!$C44-1</f>
        <v>0.19405940594059401</v>
      </c>
      <c r="E44" s="91">
        <f>THG!E44/THG!$C44-1</f>
        <v>0.38811881188118846</v>
      </c>
      <c r="F44" s="91">
        <f>THG!F44/THG!$C44-1</f>
        <v>0.58217821782178247</v>
      </c>
      <c r="G44" s="91">
        <f>THG!G44/THG!$C44-1</f>
        <v>1.4968099009900993</v>
      </c>
      <c r="H44" s="91">
        <f>THG!H44/THG!$C44-1</f>
        <v>2.4114409240924082</v>
      </c>
      <c r="I44" s="91">
        <f>THG!I44/THG!$C44-1</f>
        <v>3.326072607260727</v>
      </c>
      <c r="J44" s="91">
        <f>THG!J44/THG!$C44-1</f>
        <v>3.7617161716171621</v>
      </c>
      <c r="K44" s="91">
        <f>THG!K44/THG!$C44-1</f>
        <v>4.2472221854148628</v>
      </c>
      <c r="L44" s="91">
        <f>THG!L44/THG!$C44-1</f>
        <v>5.0879739214162862</v>
      </c>
      <c r="M44" s="91">
        <f>THG!M44/THG!$C44-1</f>
        <v>6.0063171725623281</v>
      </c>
      <c r="N44" s="91">
        <f>THG!N44/THG!$C44-1</f>
        <v>6.1629721341090704</v>
      </c>
      <c r="O44" s="91">
        <f>THG!O44/THG!$C44-1</f>
        <v>7.5647528894884317</v>
      </c>
      <c r="P44" s="91">
        <f>THG!P44/THG!$C44-1</f>
        <v>7.6476866912618249</v>
      </c>
      <c r="Q44" s="91">
        <f>THG!Q44/THG!$C44-1</f>
        <v>7.8370601907215729</v>
      </c>
      <c r="R44" s="91">
        <f>THG!R44/THG!$C44-1</f>
        <v>7.7452207238085133</v>
      </c>
      <c r="S44" s="91">
        <f>THG!S44/THG!$C44-1</f>
        <v>7.9134993651362855</v>
      </c>
      <c r="T44" s="91">
        <f>THG!T44/THG!$C44-1</f>
        <v>8.5378655126104732</v>
      </c>
      <c r="U44" s="91">
        <f>THG!U44/THG!$C44-1</f>
        <v>8.3994787877982997</v>
      </c>
      <c r="V44" s="91">
        <f>THG!V44/THG!$C44-1</f>
        <v>8.6470324394899976</v>
      </c>
      <c r="W44" s="91">
        <f>THG!W44/THG!$C44-1</f>
        <v>8.5860147420433357</v>
      </c>
      <c r="X44" s="91">
        <f>THG!X44/THG!$C44-1</f>
        <v>9.7369965975959492</v>
      </c>
      <c r="Y44" s="91">
        <f>THG!Y44/THG!$C44-1</f>
        <v>10.195827879930849</v>
      </c>
      <c r="Z44" s="91">
        <f>THG!Z44/THG!$C44-1</f>
        <v>10.117627906303134</v>
      </c>
      <c r="AA44" s="91">
        <f>THG!AA44/THG!$C44-1</f>
        <v>11.02863334917568</v>
      </c>
      <c r="AB44" s="91">
        <f>THG!AB44/THG!$C44-1</f>
        <v>11.051974585719567</v>
      </c>
      <c r="AC44" s="91">
        <f>THG!AC44/THG!$C44-1</f>
        <v>11.361685363983366</v>
      </c>
      <c r="AD44" s="91">
        <f>THG!AD44/THG!$C44-1</f>
        <v>11.557385589665607</v>
      </c>
      <c r="AE44" s="91">
        <f>THG!AE44/THG!$C44-1</f>
        <v>11.184959602025165</v>
      </c>
      <c r="AF44" s="91">
        <f>THG!AF44/THG!$C44-1</f>
        <v>11.413777102343751</v>
      </c>
      <c r="AG44" s="91">
        <f>THG!AG44/THG!$C44-1</f>
        <v>11.392341760764177</v>
      </c>
      <c r="AH44" s="91">
        <f>THG!AH44/THG!$C44-1</f>
        <v>12.383449494705149</v>
      </c>
      <c r="AI44" s="91">
        <f>THG!AI44/THG!$C44-1</f>
        <v>12.392829473778075</v>
      </c>
      <c r="AJ44" s="91">
        <f>THG!AJ44/THG!$C44-1</f>
        <v>12.652802592705376</v>
      </c>
      <c r="AK44" s="91">
        <f>THG!AK44/THG!$C44-1</f>
        <v>13.072956203352444</v>
      </c>
      <c r="AL44" s="91">
        <f>THG!AL44/THG!$C44-1</f>
        <v>13.072956203352444</v>
      </c>
    </row>
    <row r="45" spans="2:38" s="149" customFormat="1" ht="18.75" customHeight="1">
      <c r="B45" s="18" t="s">
        <v>20</v>
      </c>
      <c r="C45" s="33">
        <f>THG!C45/THG!$C45-1</f>
        <v>0</v>
      </c>
      <c r="D45" s="33">
        <f>THG!D45/THG!$C45-1</f>
        <v>-0.14028651593018382</v>
      </c>
      <c r="E45" s="33">
        <f>THG!E45/THG!$C45-1</f>
        <v>-0.22598778448497103</v>
      </c>
      <c r="F45" s="33">
        <f>THG!F45/THG!$C45-1</f>
        <v>-0.26837774231390721</v>
      </c>
      <c r="G45" s="33">
        <f>THG!G45/THG!$C45-1</f>
        <v>-0.3173676417143807</v>
      </c>
      <c r="H45" s="33">
        <f>THG!H45/THG!$C45-1</f>
        <v>-0.31602964638122566</v>
      </c>
      <c r="I45" s="33">
        <f>THG!I45/THG!$C45-1</f>
        <v>-0.33508155356233971</v>
      </c>
      <c r="J45" s="33">
        <f>THG!J45/THG!$C45-1</f>
        <v>-0.35466787772924402</v>
      </c>
      <c r="K45" s="33">
        <f>THG!K45/THG!$C45-1</f>
        <v>-0.37411207185768602</v>
      </c>
      <c r="L45" s="33">
        <f>THG!L45/THG!$C45-1</f>
        <v>-0.37553215553666219</v>
      </c>
      <c r="M45" s="33">
        <f>THG!M45/THG!$C45-1</f>
        <v>-0.37710490539470698</v>
      </c>
      <c r="N45" s="33">
        <f>THG!N45/THG!$C45-1</f>
        <v>-0.37993733035339172</v>
      </c>
      <c r="O45" s="33">
        <f>THG!O45/THG!$C45-1</f>
        <v>-0.3869355896964769</v>
      </c>
      <c r="P45" s="33">
        <f>THG!P45/THG!$C45-1</f>
        <v>-0.39415264692242657</v>
      </c>
      <c r="Q45" s="33">
        <f>THG!Q45/THG!$C45-1</f>
        <v>-0.40099887562866421</v>
      </c>
      <c r="R45" s="33">
        <f>THG!R45/THG!$C45-1</f>
        <v>-0.40669730120941472</v>
      </c>
      <c r="S45" s="33">
        <f>THG!S45/THG!$C45-1</f>
        <v>-0.41355111892548946</v>
      </c>
      <c r="T45" s="33">
        <f>THG!T45/THG!$C45-1</f>
        <v>-0.42045358625430407</v>
      </c>
      <c r="U45" s="33">
        <f>THG!U45/THG!$C45-1</f>
        <v>-0.4280568204202162</v>
      </c>
      <c r="V45" s="33">
        <f>THG!V45/THG!$C45-1</f>
        <v>-0.43572744987110634</v>
      </c>
      <c r="W45" s="33">
        <f>THG!W45/THG!$C45-1</f>
        <v>-0.44332704699920067</v>
      </c>
      <c r="X45" s="33">
        <f>THG!X45/THG!$C45-1</f>
        <v>-0.45005217627477123</v>
      </c>
      <c r="Y45" s="33">
        <f>THG!Y45/THG!$C45-1</f>
        <v>-0.45613057172861482</v>
      </c>
      <c r="Z45" s="33">
        <f>THG!Z45/THG!$C45-1</f>
        <v>-0.46236557404582179</v>
      </c>
      <c r="AA45" s="33">
        <f>THG!AA45/THG!$C45-1</f>
        <v>-0.4677760277385592</v>
      </c>
      <c r="AB45" s="33">
        <f>THG!AB45/THG!$C45-1</f>
        <v>-0.47127171301388071</v>
      </c>
      <c r="AC45" s="33">
        <f>THG!AC45/THG!$C45-1</f>
        <v>-0.47772356868072707</v>
      </c>
      <c r="AD45" s="33">
        <f>THG!AD45/THG!$C45-1</f>
        <v>-0.48236917525822842</v>
      </c>
      <c r="AE45" s="33">
        <f>THG!AE45/THG!$C45-1</f>
        <v>-0.4882324949299105</v>
      </c>
      <c r="AF45" s="33">
        <f>THG!AF45/THG!$C45-1</f>
        <v>-0.49406223893648249</v>
      </c>
      <c r="AG45" s="33">
        <f>THG!AG45/THG!$C45-1</f>
        <v>-0.50158504337932164</v>
      </c>
      <c r="AH45" s="33">
        <f>THG!AH45/THG!$C45-1</f>
        <v>-0.50134940862760535</v>
      </c>
      <c r="AI45" s="33">
        <f>THG!AI45/THG!$C45-1</f>
        <v>-0.50256488657540799</v>
      </c>
      <c r="AJ45" s="33">
        <f>THG!AJ45/THG!$C45-1</f>
        <v>-0.50072944911301009</v>
      </c>
      <c r="AK45" s="33">
        <f>THG!AK45/THG!$C45-1</f>
        <v>-0.50015554280011187</v>
      </c>
      <c r="AL45" s="33">
        <f>THG!AL45/THG!$C45-1</f>
        <v>-0.50053925338525684</v>
      </c>
    </row>
    <row r="46" spans="2:38" s="149" customFormat="1" ht="18.75" customHeight="1">
      <c r="B46" s="89" t="s">
        <v>28</v>
      </c>
      <c r="C46" s="91" t="s">
        <v>27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</row>
    <row r="47" spans="2:38" s="149" customFormat="1" ht="18.75" customHeight="1">
      <c r="B47" s="1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2:38" s="10" customFormat="1" ht="18.75" customHeight="1">
      <c r="B48" s="152" t="s">
        <v>124</v>
      </c>
      <c r="C48" s="30">
        <f>THG!C48/THG!$C48-1</f>
        <v>0</v>
      </c>
      <c r="D48" s="30">
        <f>THG!D48/THG!$C48-1</f>
        <v>-1.7010251711387148</v>
      </c>
      <c r="E48" s="30">
        <f>THG!E48/THG!$C48-1</f>
        <v>-1.4025080114246364</v>
      </c>
      <c r="F48" s="30">
        <f>THG!F48/THG!$C48-1</f>
        <v>-1.806051272007525</v>
      </c>
      <c r="G48" s="30">
        <f>THG!G48/THG!$C48-1</f>
        <v>-1.3046640753577048</v>
      </c>
      <c r="H48" s="30">
        <f>THG!H48/THG!$C48-1</f>
        <v>-1.1073427979044572</v>
      </c>
      <c r="I48" s="30">
        <f>THG!I48/THG!$C48-1</f>
        <v>-1.5784214106536458</v>
      </c>
      <c r="J48" s="30">
        <f>THG!J48/THG!$C48-1</f>
        <v>-1.2363428232634317</v>
      </c>
      <c r="K48" s="30">
        <f>THG!K48/THG!$C48-1</f>
        <v>-1.3333620321268043</v>
      </c>
      <c r="L48" s="30">
        <f>THG!L48/THG!$C48-1</f>
        <v>-1.2982036556967234</v>
      </c>
      <c r="M48" s="30">
        <f>THG!M48/THG!$C48-1</f>
        <v>-0.78819106998026256</v>
      </c>
      <c r="N48" s="30">
        <f>THG!N48/THG!$C48-1</f>
        <v>-1.6072133034740559</v>
      </c>
      <c r="O48" s="30">
        <f>THG!O48/THG!$C48-1</f>
        <v>-1.1243361749253837</v>
      </c>
      <c r="P48" s="30">
        <f>THG!P48/THG!$C48-1</f>
        <v>-0.70231791549723144</v>
      </c>
      <c r="Q48" s="30">
        <f>THG!Q48/THG!$C48-1</f>
        <v>-0.63134457229227503</v>
      </c>
      <c r="R48" s="30">
        <f>THG!R48/THG!$C48-1</f>
        <v>-0.6906307986096023</v>
      </c>
      <c r="S48" s="30">
        <f>THG!S48/THG!$C48-1</f>
        <v>-0.47428012331447789</v>
      </c>
      <c r="T48" s="30">
        <f>THG!T48/THG!$C48-1</f>
        <v>-0.4010653176348622</v>
      </c>
      <c r="U48" s="30">
        <f>THG!U48/THG!$C48-1</f>
        <v>-1.0590361665248049</v>
      </c>
      <c r="V48" s="30">
        <f>THG!V48/THG!$C48-1</f>
        <v>-0.92282820513286201</v>
      </c>
      <c r="W48" s="30">
        <f>THG!W48/THG!$C48-1</f>
        <v>-0.69004729003128962</v>
      </c>
      <c r="X48" s="30">
        <f>THG!X48/THG!$C48-1</f>
        <v>-0.71369691830510851</v>
      </c>
      <c r="Y48" s="30">
        <f>THG!Y48/THG!$C48-1</f>
        <v>-1.060372435971936</v>
      </c>
      <c r="Z48" s="30">
        <f>THG!Z48/THG!$C48-1</f>
        <v>-0.87747959403943299</v>
      </c>
      <c r="AA48" s="30">
        <f>THG!AA48/THG!$C48-1</f>
        <v>-0.633454800739361</v>
      </c>
      <c r="AB48" s="30">
        <f>THG!AB48/THG!$C48-1</f>
        <v>-0.81946708589164763</v>
      </c>
      <c r="AC48" s="30">
        <f>THG!AC48/THG!$C48-1</f>
        <v>-0.68718565774519347</v>
      </c>
      <c r="AD48" s="30">
        <f>THG!AD48/THG!$C48-1</f>
        <v>-0.62251957801171065</v>
      </c>
      <c r="AE48" s="30">
        <f>THG!AE48/THG!$C48-1</f>
        <v>0.594334175577929</v>
      </c>
      <c r="AF48" s="30">
        <f>THG!AF48/THG!$C48-1</f>
        <v>0.12628075374236469</v>
      </c>
      <c r="AG48" s="30">
        <f>THG!AG48/THG!$C48-1</f>
        <v>0.30555688177928042</v>
      </c>
      <c r="AH48" s="30">
        <f>THG!AH48/THG!$C48-1</f>
        <v>0.2316437291024549</v>
      </c>
      <c r="AI48" s="30">
        <f>THG!AI48/THG!$C48-1</f>
        <v>0.57827518786934173</v>
      </c>
      <c r="AJ48" s="30">
        <f>THG!AJ48/THG!$C48-1</f>
        <v>1.0076928589559095</v>
      </c>
      <c r="AK48" s="30">
        <f>THG!AK48/THG!$C48-1</f>
        <v>0.58484793476196328</v>
      </c>
      <c r="AL48" s="30">
        <f>THG!AL48/THG!$C48-1</f>
        <v>-0.26414079789997968</v>
      </c>
    </row>
    <row r="49" spans="2:38" s="149" customFormat="1" ht="18.75" customHeight="1">
      <c r="B49" s="18" t="s">
        <v>125</v>
      </c>
      <c r="C49" s="33">
        <f>THG!C49/THG!$C49-1</f>
        <v>0</v>
      </c>
      <c r="D49" s="33">
        <f>THG!D49/THG!$C49-1</f>
        <v>2.0500166689910539</v>
      </c>
      <c r="E49" s="33">
        <f>THG!E49/THG!$C49-1</f>
        <v>2.2105368928620397</v>
      </c>
      <c r="F49" s="33">
        <f>THG!F49/THG!$C49-1</f>
        <v>2.2170466246690701</v>
      </c>
      <c r="G49" s="33">
        <f>THG!G49/THG!$C49-1</f>
        <v>1.9178944751013933</v>
      </c>
      <c r="H49" s="33">
        <f>THG!H49/THG!$C49-1</f>
        <v>1.6050950602601821</v>
      </c>
      <c r="I49" s="33">
        <f>THG!I49/THG!$C49-1</f>
        <v>1.7531143624272376</v>
      </c>
      <c r="J49" s="33">
        <f>THG!J49/THG!$C49-1</f>
        <v>1.7247379064859509</v>
      </c>
      <c r="K49" s="33">
        <f>THG!K49/THG!$C49-1</f>
        <v>1.6016681528510728</v>
      </c>
      <c r="L49" s="33">
        <f>THG!L49/THG!$C49-1</f>
        <v>1.6756416753880341</v>
      </c>
      <c r="M49" s="33">
        <f>THG!M49/THG!$C49-1</f>
        <v>0.99595770840434628</v>
      </c>
      <c r="N49" s="33">
        <f>THG!N49/THG!$C49-1</f>
        <v>1.6082710195528112</v>
      </c>
      <c r="O49" s="33">
        <f>THG!O49/THG!$C49-1</f>
        <v>1.5523380352005294</v>
      </c>
      <c r="P49" s="33">
        <f>THG!P49/THG!$C49-1</f>
        <v>0.30887181320859813</v>
      </c>
      <c r="Q49" s="33">
        <f>THG!Q49/THG!$C49-1</f>
        <v>0.2839870400642881</v>
      </c>
      <c r="R49" s="33">
        <f>THG!R49/THG!$C49-1</f>
        <v>0.26113115083518323</v>
      </c>
      <c r="S49" s="33">
        <f>THG!S49/THG!$C49-1</f>
        <v>0.22446531090044064</v>
      </c>
      <c r="T49" s="33">
        <f>THG!T49/THG!$C49-1</f>
        <v>0.11524451832575511</v>
      </c>
      <c r="U49" s="33">
        <f>THG!U49/THG!$C49-1</f>
        <v>0.86653155974725471</v>
      </c>
      <c r="V49" s="33">
        <f>THG!V49/THG!$C49-1</f>
        <v>0.77534291183055726</v>
      </c>
      <c r="W49" s="33">
        <f>THG!W49/THG!$C49-1</f>
        <v>0.50307400299147598</v>
      </c>
      <c r="X49" s="33">
        <f>THG!X49/THG!$C49-1</f>
        <v>0.67263417435611683</v>
      </c>
      <c r="Y49" s="33">
        <f>THG!Y49/THG!$C49-1</f>
        <v>0.76415950552492951</v>
      </c>
      <c r="Z49" s="33">
        <f>THG!Z49/THG!$C49-1</f>
        <v>0.96726221591350048</v>
      </c>
      <c r="AA49" s="33">
        <f>THG!AA49/THG!$C49-1</f>
        <v>0.60175593247402182</v>
      </c>
      <c r="AB49" s="33">
        <f>THG!AB49/THG!$C49-1</f>
        <v>0.6972855229620567</v>
      </c>
      <c r="AC49" s="33">
        <f>THG!AC49/THG!$C49-1</f>
        <v>0.73844929041080132</v>
      </c>
      <c r="AD49" s="33">
        <f>THG!AD49/THG!$C49-1</f>
        <v>0.58851260646954251</v>
      </c>
      <c r="AE49" s="33">
        <f>THG!AE49/THG!$C49-1</f>
        <v>-1.2780287086556212</v>
      </c>
      <c r="AF49" s="33">
        <f>THG!AF49/THG!$C49-1</f>
        <v>-0.47534899604095426</v>
      </c>
      <c r="AG49" s="33">
        <f>THG!AG49/THG!$C49-1</f>
        <v>-0.92461443037974012</v>
      </c>
      <c r="AH49" s="33">
        <f>THG!AH49/THG!$C49-1</f>
        <v>-0.83535681613959467</v>
      </c>
      <c r="AI49" s="33">
        <f>THG!AI49/THG!$C49-1</f>
        <v>-1.1000190564554302</v>
      </c>
      <c r="AJ49" s="33">
        <f>THG!AJ49/THG!$C49-1</f>
        <v>-1.2829441166801112</v>
      </c>
      <c r="AK49" s="33">
        <f>THG!AK49/THG!$C49-1</f>
        <v>-1.0809165441980582</v>
      </c>
      <c r="AL49" s="33">
        <f>THG!AL49/THG!$C49-1</f>
        <v>-0.27092001824354928</v>
      </c>
    </row>
    <row r="50" spans="2:38" s="149" customFormat="1" ht="18.75" customHeight="1">
      <c r="B50" s="89" t="s">
        <v>126</v>
      </c>
      <c r="C50" s="91">
        <f>THG!C50/THG!$C50-1</f>
        <v>0</v>
      </c>
      <c r="D50" s="91">
        <f>THG!D50/THG!$C50-1</f>
        <v>-0.41382304574051043</v>
      </c>
      <c r="E50" s="91">
        <f>THG!E50/THG!$C50-1</f>
        <v>8.1147925810399535E-2</v>
      </c>
      <c r="F50" s="91">
        <f>THG!F50/THG!$C50-1</f>
        <v>-0.17116471440699965</v>
      </c>
      <c r="G50" s="91">
        <f>THG!G50/THG!$C50-1</f>
        <v>0.19090397740085607</v>
      </c>
      <c r="H50" s="91">
        <f>THG!H50/THG!$C50-1</f>
        <v>5.040459754908988E-2</v>
      </c>
      <c r="I50" s="91">
        <f>THG!I50/THG!$C50-1</f>
        <v>-0.44747061150836487</v>
      </c>
      <c r="J50" s="91">
        <f>THG!J50/THG!$C50-1</f>
        <v>1.0930427420216882E-2</v>
      </c>
      <c r="K50" s="91">
        <f>THG!K50/THG!$C50-1</f>
        <v>-9.2552136890995396E-3</v>
      </c>
      <c r="L50" s="91">
        <f>THG!L50/THG!$C50-1</f>
        <v>-9.0410711986831482E-2</v>
      </c>
      <c r="M50" s="91">
        <f>THG!M50/THG!$C50-1</f>
        <v>0.11854940478569187</v>
      </c>
      <c r="N50" s="91">
        <f>THG!N50/THG!$C50-1</f>
        <v>-0.32084732127943261</v>
      </c>
      <c r="O50" s="91">
        <f>THG!O50/THG!$C50-1</f>
        <v>0.41812086428303008</v>
      </c>
      <c r="P50" s="91">
        <f>THG!P50/THG!$C50-1</f>
        <v>-0.52810155407362691</v>
      </c>
      <c r="Q50" s="91">
        <f>THG!Q50/THG!$C50-1</f>
        <v>-0.12489115363985859</v>
      </c>
      <c r="R50" s="91">
        <f>THG!R50/THG!$C50-1</f>
        <v>-0.14175921331226493</v>
      </c>
      <c r="S50" s="91">
        <f>THG!S50/THG!$C50-1</f>
        <v>5.2193214611562899E-2</v>
      </c>
      <c r="T50" s="91">
        <f>THG!T50/THG!$C50-1</f>
        <v>0.25640497372264837</v>
      </c>
      <c r="U50" s="91">
        <f>THG!U50/THG!$C50-1</f>
        <v>-0.51016820558356357</v>
      </c>
      <c r="V50" s="91">
        <f>THG!V50/THG!$C50-1</f>
        <v>-0.41972823231454148</v>
      </c>
      <c r="W50" s="91">
        <f>THG!W50/THG!$C50-1</f>
        <v>-0.27147736209519524</v>
      </c>
      <c r="X50" s="91">
        <f>THG!X50/THG!$C50-1</f>
        <v>-0.16534836440984435</v>
      </c>
      <c r="Y50" s="91">
        <f>THG!Y50/THG!$C50-1</f>
        <v>-0.64426444089988499</v>
      </c>
      <c r="Z50" s="91">
        <f>THG!Z50/THG!$C50-1</f>
        <v>-0.21223604134517338</v>
      </c>
      <c r="AA50" s="91">
        <f>THG!AA50/THG!$C50-1</f>
        <v>-0.23572299234652794</v>
      </c>
      <c r="AB50" s="91">
        <f>THG!AB50/THG!$C50-1</f>
        <v>-0.40053905243489507</v>
      </c>
      <c r="AC50" s="91">
        <f>THG!AC50/THG!$C50-1</f>
        <v>-0.26157160004283142</v>
      </c>
      <c r="AD50" s="91">
        <f>THG!AD50/THG!$C50-1</f>
        <v>-8.6770394335712764E-2</v>
      </c>
      <c r="AE50" s="91">
        <f>THG!AE50/THG!$C50-1</f>
        <v>-0.65840765044634231</v>
      </c>
      <c r="AF50" s="91">
        <f>THG!AF50/THG!$C50-1</f>
        <v>-0.26080862896544788</v>
      </c>
      <c r="AG50" s="91">
        <f>THG!AG50/THG!$C50-1</f>
        <v>-0.38256984663544735</v>
      </c>
      <c r="AH50" s="91">
        <f>THG!AH50/THG!$C50-1</f>
        <v>-0.25183652992474648</v>
      </c>
      <c r="AI50" s="91">
        <f>THG!AI50/THG!$C50-1</f>
        <v>-0.40324002783331658</v>
      </c>
      <c r="AJ50" s="91">
        <f>THG!AJ50/THG!$C50-1</f>
        <v>0.14353838154430743</v>
      </c>
      <c r="AK50" s="91">
        <f>THG!AK50/THG!$C50-1</f>
        <v>-0.34512863544181926</v>
      </c>
      <c r="AL50" s="91">
        <f>THG!AL50/THG!$C50-1</f>
        <v>-0.74619063643033923</v>
      </c>
    </row>
    <row r="51" spans="2:38" s="149" customFormat="1" ht="18.75" customHeight="1">
      <c r="B51" s="18" t="s">
        <v>129</v>
      </c>
      <c r="C51" s="33">
        <f>THG!C51/THG!$C51-1</f>
        <v>0</v>
      </c>
      <c r="D51" s="33">
        <f>THG!D51/THG!$C51-1</f>
        <v>1.7200311763091447E-2</v>
      </c>
      <c r="E51" s="33">
        <f>THG!E51/THG!$C51-1</f>
        <v>9.4043208982660831E-2</v>
      </c>
      <c r="F51" s="33">
        <f>THG!F51/THG!$C51-1</f>
        <v>-0.17728882299925253</v>
      </c>
      <c r="G51" s="33">
        <f>THG!G51/THG!$C51-1</f>
        <v>-4.9102233000814177E-2</v>
      </c>
      <c r="H51" s="33">
        <f>THG!H51/THG!$C51-1</f>
        <v>6.6711173875756868E-2</v>
      </c>
      <c r="I51" s="33">
        <f>THG!I51/THG!$C51-1</f>
        <v>4.9222317690003514E-2</v>
      </c>
      <c r="J51" s="33">
        <f>THG!J51/THG!$C51-1</f>
        <v>6.9657529498893256E-2</v>
      </c>
      <c r="K51" s="33">
        <f>THG!K51/THG!$C51-1</f>
        <v>-0.12415138626072053</v>
      </c>
      <c r="L51" s="33">
        <f>THG!L51/THG!$C51-1</f>
        <v>8.3249761926980081E-2</v>
      </c>
      <c r="M51" s="33">
        <f>THG!M51/THG!$C51-1</f>
        <v>-1.4995624993827228E-2</v>
      </c>
      <c r="N51" s="33">
        <f>THG!N51/THG!$C51-1</f>
        <v>-0.15602086440983509</v>
      </c>
      <c r="O51" s="33">
        <f>THG!O51/THG!$C51-1</f>
        <v>-0.20110973845317981</v>
      </c>
      <c r="P51" s="33">
        <f>THG!P51/THG!$C51-1</f>
        <v>0.10697211518339933</v>
      </c>
      <c r="Q51" s="33">
        <f>THG!Q51/THG!$C51-1</f>
        <v>-7.7009807537098407E-2</v>
      </c>
      <c r="R51" s="33">
        <f>THG!R51/THG!$C51-1</f>
        <v>-6.8382837361013027E-2</v>
      </c>
      <c r="S51" s="33">
        <f>THG!S51/THG!$C51-1</f>
        <v>9.685571125780168E-3</v>
      </c>
      <c r="T51" s="33">
        <f>THG!T51/THG!$C51-1</f>
        <v>-0.18266925447271398</v>
      </c>
      <c r="U51" s="33">
        <f>THG!U51/THG!$C51-1</f>
        <v>1.6928623745201987E-2</v>
      </c>
      <c r="V51" s="33">
        <f>THG!V51/THG!$C51-1</f>
        <v>1.4476739619321277E-2</v>
      </c>
      <c r="W51" s="33">
        <f>THG!W51/THG!$C51-1</f>
        <v>-0.12572491449831869</v>
      </c>
      <c r="X51" s="33">
        <f>THG!X51/THG!$C51-1</f>
        <v>-0.13170059383811683</v>
      </c>
      <c r="Y51" s="33">
        <f>THG!Y51/THG!$C51-1</f>
        <v>-7.2282607917816821E-2</v>
      </c>
      <c r="Z51" s="33">
        <f>THG!Z51/THG!$C51-1</f>
        <v>-0.10591533723406488</v>
      </c>
      <c r="AA51" s="33">
        <f>THG!AA51/THG!$C51-1</f>
        <v>-9.5044102633893512E-2</v>
      </c>
      <c r="AB51" s="33">
        <f>THG!AB51/THG!$C51-1</f>
        <v>-9.0848997579528357E-2</v>
      </c>
      <c r="AC51" s="33">
        <f>THG!AC51/THG!$C51-1</f>
        <v>-1.3094955946032827E-2</v>
      </c>
      <c r="AD51" s="33">
        <f>THG!AD51/THG!$C51-1</f>
        <v>-0.19265669600343249</v>
      </c>
      <c r="AE51" s="33">
        <f>THG!AE51/THG!$C51-1</f>
        <v>0.19254176951807089</v>
      </c>
      <c r="AF51" s="33">
        <f>THG!AF51/THG!$C51-1</f>
        <v>4.8524819307260492E-2</v>
      </c>
      <c r="AG51" s="33">
        <f>THG!AG51/THG!$C51-1</f>
        <v>4.4700638350498645E-2</v>
      </c>
      <c r="AH51" s="33">
        <f>THG!AH51/THG!$C51-1</f>
        <v>-6.8069558989999557E-2</v>
      </c>
      <c r="AI51" s="33">
        <f>THG!AI51/THG!$C51-1</f>
        <v>0.12519364949725653</v>
      </c>
      <c r="AJ51" s="33">
        <f>THG!AJ51/THG!$C51-1</f>
        <v>-8.1101991647738014E-2</v>
      </c>
      <c r="AK51" s="33">
        <f>THG!AK51/THG!$C51-1</f>
        <v>-3.9884562283922342E-2</v>
      </c>
      <c r="AL51" s="33">
        <f>THG!AL51/THG!$C51-1</f>
        <v>5.9740872446009785E-2</v>
      </c>
    </row>
    <row r="52" spans="2:38" s="149" customFormat="1" ht="18.75" customHeight="1">
      <c r="B52" s="89" t="s">
        <v>130</v>
      </c>
      <c r="C52" s="91">
        <f>THG!C52/THG!$C52-1</f>
        <v>0</v>
      </c>
      <c r="D52" s="91">
        <f>THG!D52/THG!$C52-1</f>
        <v>3.0255240628570546E-2</v>
      </c>
      <c r="E52" s="91">
        <f>THG!E52/THG!$C52-1</f>
        <v>7.4183357125886085E-2</v>
      </c>
      <c r="F52" s="91">
        <f>THG!F52/THG!$C52-1</f>
        <v>-4.8026049426587614E-2</v>
      </c>
      <c r="G52" s="91">
        <f>THG!G52/THG!$C52-1</f>
        <v>1.5369155786485456E-2</v>
      </c>
      <c r="H52" s="91">
        <f>THG!H52/THG!$C52-1</f>
        <v>3.2208086784055512E-2</v>
      </c>
      <c r="I52" s="91">
        <f>THG!I52/THG!$C52-1</f>
        <v>6.0062524678623053E-2</v>
      </c>
      <c r="J52" s="91">
        <f>THG!J52/THG!$C52-1</f>
        <v>4.7925795532150817E-2</v>
      </c>
      <c r="K52" s="91">
        <f>THG!K52/THG!$C52-1</f>
        <v>-4.5408047884767822E-2</v>
      </c>
      <c r="L52" s="91">
        <f>THG!L52/THG!$C52-1</f>
        <v>7.9444258453144512E-2</v>
      </c>
      <c r="M52" s="91">
        <f>THG!M52/THG!$C52-1</f>
        <v>4.5999700958836653E-2</v>
      </c>
      <c r="N52" s="91">
        <f>THG!N52/THG!$C52-1</f>
        <v>-6.928664683628849E-3</v>
      </c>
      <c r="O52" s="91">
        <f>THG!O52/THG!$C52-1</f>
        <v>-6.2404176893771091E-2</v>
      </c>
      <c r="P52" s="91">
        <f>THG!P52/THG!$C52-1</f>
        <v>0.11194515674728556</v>
      </c>
      <c r="Q52" s="91">
        <f>THG!Q52/THG!$C52-1</f>
        <v>4.370084587278722E-3</v>
      </c>
      <c r="R52" s="91">
        <f>THG!R52/THG!$C52-1</f>
        <v>2.3643309542378255E-2</v>
      </c>
      <c r="S52" s="91">
        <f>THG!S52/THG!$C52-1</f>
        <v>7.7328610444086676E-2</v>
      </c>
      <c r="T52" s="91">
        <f>THG!T52/THG!$C52-1</f>
        <v>-2.0488939896860847E-2</v>
      </c>
      <c r="U52" s="91">
        <f>THG!U52/THG!$C52-1</f>
        <v>3.7964867404627567E-2</v>
      </c>
      <c r="V52" s="91">
        <f>THG!V52/THG!$C52-1</f>
        <v>5.8178041598134111E-2</v>
      </c>
      <c r="W52" s="91">
        <f>THG!W52/THG!$C52-1</f>
        <v>-6.6500800037296859E-3</v>
      </c>
      <c r="X52" s="91">
        <f>THG!X52/THG!$C52-1</f>
        <v>2.7086623007729127E-2</v>
      </c>
      <c r="Y52" s="91">
        <f>THG!Y52/THG!$C52-1</f>
        <v>3.2596770832978406E-2</v>
      </c>
      <c r="Z52" s="91">
        <f>THG!Z52/THG!$C52-1</f>
        <v>2.682743397925047E-2</v>
      </c>
      <c r="AA52" s="91">
        <f>THG!AA52/THG!$C52-1</f>
        <v>2.8499643641882733E-2</v>
      </c>
      <c r="AB52" s="91">
        <f>THG!AB52/THG!$C52-1</f>
        <v>2.2905564407837531E-2</v>
      </c>
      <c r="AC52" s="91">
        <f>THG!AC52/THG!$C52-1</f>
        <v>7.5909922459502788E-2</v>
      </c>
      <c r="AD52" s="91">
        <f>THG!AD52/THG!$C52-1</f>
        <v>-2.175266829259237E-2</v>
      </c>
      <c r="AE52" s="91">
        <f>THG!AE52/THG!$C52-1</f>
        <v>0.21513322078500807</v>
      </c>
      <c r="AF52" s="91">
        <f>THG!AF52/THG!$C52-1</f>
        <v>9.5165693506614968E-2</v>
      </c>
      <c r="AG52" s="91">
        <f>THG!AG52/THG!$C52-1</f>
        <v>0.1167745961658524</v>
      </c>
      <c r="AH52" s="91">
        <f>THG!AH52/THG!$C52-1</f>
        <v>6.3549218773390148E-2</v>
      </c>
      <c r="AI52" s="91">
        <f>THG!AI52/THG!$C52-1</f>
        <v>0.18130527208343339</v>
      </c>
      <c r="AJ52" s="91">
        <f>THG!AJ52/THG!$C52-1</f>
        <v>-3.0996723943256255E-3</v>
      </c>
      <c r="AK52" s="91">
        <f>THG!AK52/THG!$C52-1</f>
        <v>-3.2266762961853379E-3</v>
      </c>
      <c r="AL52" s="91">
        <f>THG!AL52/THG!$C52-1</f>
        <v>0.10944989072561007</v>
      </c>
    </row>
    <row r="53" spans="2:38" s="149" customFormat="1" ht="18.75" customHeight="1">
      <c r="B53" s="18" t="s">
        <v>131</v>
      </c>
      <c r="C53" s="33">
        <f>THG!C53/THG!$C53-1</f>
        <v>0</v>
      </c>
      <c r="D53" s="33">
        <f>THG!D53/THG!$C53-1</f>
        <v>3.0049997545767315E-2</v>
      </c>
      <c r="E53" s="33">
        <f>THG!E53/THG!$C53-1</f>
        <v>3.4788880108682196E-2</v>
      </c>
      <c r="F53" s="33">
        <f>THG!F53/THG!$C53-1</f>
        <v>7.8798351742852546E-3</v>
      </c>
      <c r="G53" s="33">
        <f>THG!G53/THG!$C53-1</f>
        <v>3.9761651950973365E-2</v>
      </c>
      <c r="H53" s="33">
        <f>THG!H53/THG!$C53-1</f>
        <v>5.5392029852596503E-2</v>
      </c>
      <c r="I53" s="33">
        <f>THG!I53/THG!$C53-1</f>
        <v>8.5102073831348601E-2</v>
      </c>
      <c r="J53" s="33">
        <f>THG!J53/THG!$C53-1</f>
        <v>9.9249778943497624E-2</v>
      </c>
      <c r="K53" s="33">
        <f>THG!K53/THG!$C53-1</f>
        <v>5.2489822039525569E-2</v>
      </c>
      <c r="L53" s="33">
        <f>THG!L53/THG!$C53-1</f>
        <v>0.12275041929130759</v>
      </c>
      <c r="M53" s="33">
        <f>THG!M53/THG!$C53-1</f>
        <v>0.11259088860714184</v>
      </c>
      <c r="N53" s="33">
        <f>THG!N53/THG!$C53-1</f>
        <v>0.12597130526758993</v>
      </c>
      <c r="O53" s="33">
        <f>THG!O53/THG!$C53-1</f>
        <v>0.1176476346299038</v>
      </c>
      <c r="P53" s="33">
        <f>THG!P53/THG!$C53-1</f>
        <v>0.16772855341942128</v>
      </c>
      <c r="Q53" s="33">
        <f>THG!Q53/THG!$C53-1</f>
        <v>0.20351942717052962</v>
      </c>
      <c r="R53" s="33">
        <f>THG!R53/THG!$C53-1</f>
        <v>0.20290531589967697</v>
      </c>
      <c r="S53" s="33">
        <f>THG!S53/THG!$C53-1</f>
        <v>0.24165618015840651</v>
      </c>
      <c r="T53" s="33">
        <f>THG!T53/THG!$C53-1</f>
        <v>0.21217262245871393</v>
      </c>
      <c r="U53" s="33">
        <f>THG!U53/THG!$C53-1</f>
        <v>0.28143235669284494</v>
      </c>
      <c r="V53" s="33">
        <f>THG!V53/THG!$C53-1</f>
        <v>0.30054255545165565</v>
      </c>
      <c r="W53" s="33">
        <f>THG!W53/THG!$C53-1</f>
        <v>0.26934168663144598</v>
      </c>
      <c r="X53" s="33">
        <f>THG!X53/THG!$C53-1</f>
        <v>0.3415064987400469</v>
      </c>
      <c r="Y53" s="33">
        <f>THG!Y53/THG!$C53-1</f>
        <v>0.37455749273455319</v>
      </c>
      <c r="Z53" s="33">
        <f>THG!Z53/THG!$C53-1</f>
        <v>0.43489693285277831</v>
      </c>
      <c r="AA53" s="33">
        <f>THG!AA53/THG!$C53-1</f>
        <v>0.49966074995553744</v>
      </c>
      <c r="AB53" s="33">
        <f>THG!AB53/THG!$C53-1</f>
        <v>0.47216952716673499</v>
      </c>
      <c r="AC53" s="33">
        <f>THG!AC53/THG!$C53-1</f>
        <v>0.38415433263005005</v>
      </c>
      <c r="AD53" s="33">
        <f>THG!AD53/THG!$C53-1</f>
        <v>0.36011751214220022</v>
      </c>
      <c r="AE53" s="33">
        <f>THG!AE53/THG!$C53-1</f>
        <v>0.61374200896286712</v>
      </c>
      <c r="AF53" s="33">
        <f>THG!AF53/THG!$C53-1</f>
        <v>0.42277452968133256</v>
      </c>
      <c r="AG53" s="33">
        <f>THG!AG53/THG!$C53-1</f>
        <v>0.45352270870508704</v>
      </c>
      <c r="AH53" s="33">
        <f>THG!AH53/THG!$C53-1</f>
        <v>0.35071441228841538</v>
      </c>
      <c r="AI53" s="33">
        <f>THG!AI53/THG!$C53-1</f>
        <v>0.41473408519852151</v>
      </c>
      <c r="AJ53" s="33">
        <f>THG!AJ53/THG!$C53-1</f>
        <v>0.35695845677676963</v>
      </c>
      <c r="AK53" s="33">
        <f>THG!AK53/THG!$C53-1</f>
        <v>0.39406617165340263</v>
      </c>
      <c r="AL53" s="33">
        <f>THG!AL53/THG!$C53-1</f>
        <v>0.33302192263501018</v>
      </c>
    </row>
    <row r="54" spans="2:38" s="149" customFormat="1" ht="18.75" customHeight="1">
      <c r="B54" s="89" t="s">
        <v>127</v>
      </c>
      <c r="C54" s="91">
        <f>THG!C54/THG!$C54-1</f>
        <v>0</v>
      </c>
      <c r="D54" s="91">
        <f>THG!D54/THG!$C54-1</f>
        <v>-1.8634445356559883</v>
      </c>
      <c r="E54" s="91">
        <f>THG!E54/THG!$C54-1</f>
        <v>-1.520803888502908</v>
      </c>
      <c r="F54" s="91">
        <f>THG!F54/THG!$C54-1</f>
        <v>-1.6857693539909366</v>
      </c>
      <c r="G54" s="91">
        <f>THG!G54/THG!$C54-1</f>
        <v>0.78791050795865392</v>
      </c>
      <c r="H54" s="91">
        <f>THG!H54/THG!$C54-1</f>
        <v>1.1239285719189724</v>
      </c>
      <c r="I54" s="91">
        <f>THG!I54/THG!$C54-1</f>
        <v>1.0225855649135078</v>
      </c>
      <c r="J54" s="91">
        <f>THG!J54/THG!$C54-1</f>
        <v>1.7793322346831553</v>
      </c>
      <c r="K54" s="91">
        <f>THG!K54/THG!$C54-1</f>
        <v>2.0740402592986662</v>
      </c>
      <c r="L54" s="91">
        <f>THG!L54/THG!$C54-1</f>
        <v>2.9759686626833322</v>
      </c>
      <c r="M54" s="91">
        <f>THG!M54/THG!$C54-1</f>
        <v>4.6342132793792477</v>
      </c>
      <c r="N54" s="91">
        <f>THG!N54/THG!$C54-1</f>
        <v>3.0574277870676747</v>
      </c>
      <c r="O54" s="91">
        <f>THG!O54/THG!$C54-1</f>
        <v>4.5714094820770725</v>
      </c>
      <c r="P54" s="91">
        <f>THG!P54/THG!$C54-1</f>
        <v>5.8645450061101903</v>
      </c>
      <c r="Q54" s="91">
        <f>THG!Q54/THG!$C54-1</f>
        <v>8.46901815859772</v>
      </c>
      <c r="R54" s="91">
        <f>THG!R54/THG!$C54-1</f>
        <v>10.558352767239978</v>
      </c>
      <c r="S54" s="91">
        <f>THG!S54/THG!$C54-1</f>
        <v>11.206318180553948</v>
      </c>
      <c r="T54" s="91">
        <f>THG!T54/THG!$C54-1</f>
        <v>11.096917090121199</v>
      </c>
      <c r="U54" s="91">
        <f>THG!U54/THG!$C54-1</f>
        <v>2.9246595989358282</v>
      </c>
      <c r="V54" s="91">
        <f>THG!V54/THG!$C54-1</f>
        <v>2.9584109725400882</v>
      </c>
      <c r="W54" s="91">
        <f>THG!W54/THG!$C54-1</f>
        <v>1.7654047185864998</v>
      </c>
      <c r="X54" s="91">
        <f>THG!X54/THG!$C54-1</f>
        <v>1.4636701923643942</v>
      </c>
      <c r="Y54" s="91">
        <f>THG!Y54/THG!$C54-1</f>
        <v>0.7511394419082047</v>
      </c>
      <c r="Z54" s="91">
        <f>THG!Z54/THG!$C54-1</f>
        <v>-0.16770309303392339</v>
      </c>
      <c r="AA54" s="91">
        <f>THG!AA54/THG!$C54-1</f>
        <v>0.32600781361647102</v>
      </c>
      <c r="AB54" s="91">
        <f>THG!AB54/THG!$C54-1</f>
        <v>0.18472005208082964</v>
      </c>
      <c r="AC54" s="91">
        <f>THG!AC54/THG!$C54-1</f>
        <v>0.13940964829761193</v>
      </c>
      <c r="AD54" s="91">
        <f>THG!AD54/THG!$C54-1</f>
        <v>0.75912307392995926</v>
      </c>
      <c r="AE54" s="91">
        <f>THG!AE54/THG!$C54-1</f>
        <v>2.5736706612497762</v>
      </c>
      <c r="AF54" s="91">
        <f>THG!AF54/THG!$C54-1</f>
        <v>3.4560244861933604</v>
      </c>
      <c r="AG54" s="91">
        <f>THG!AG54/THG!$C54-1</f>
        <v>5.2207811028388367</v>
      </c>
      <c r="AH54" s="91">
        <f>THG!AH54/THG!$C54-1</f>
        <v>5.3540765325572446</v>
      </c>
      <c r="AI54" s="91">
        <f>THG!AI54/THG!$C54-1</f>
        <v>2.6040033519474037</v>
      </c>
      <c r="AJ54" s="91">
        <f>THG!AJ54/THG!$C54-1</f>
        <v>9.2431805338324624E-2</v>
      </c>
      <c r="AK54" s="91">
        <f>THG!AK54/THG!$C54-1</f>
        <v>-1.3148009996580114</v>
      </c>
      <c r="AL54" s="91">
        <f>THG!AL54/THG!$C54-1</f>
        <v>0.34385485748999045</v>
      </c>
    </row>
    <row r="55" spans="2:38" ht="19.5" customHeight="1">
      <c r="B55" s="7"/>
      <c r="AG55" s="149"/>
      <c r="AH55" s="149"/>
    </row>
  </sheetData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61"/>
      <c r="E22" s="56"/>
      <c r="F22" s="61"/>
      <c r="G22" s="56"/>
      <c r="H22" s="61"/>
      <c r="I22" s="56"/>
      <c r="J22" s="61"/>
      <c r="K22" s="56"/>
      <c r="L22" s="61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1FF4-2BBC-4180-8D40-B2150CCB33C0}">
  <sheetPr>
    <tabColor theme="7" tint="0.59999389629810485"/>
  </sheetPr>
  <dimension ref="B1:AR260"/>
  <sheetViews>
    <sheetView showGridLines="0" tabSelected="1" zoomScale="85" zoomScaleNormal="85" zoomScalePageLayoutView="150" workbookViewId="0">
      <pane xSplit="3" ySplit="10" topLeftCell="D11" activePane="bottomRight" state="frozen"/>
      <selection activeCell="E1" sqref="E1"/>
      <selection pane="topRight" activeCell="E1" sqref="E1"/>
      <selection pane="bottomLeft" activeCell="E1" sqref="E1"/>
      <selection pane="bottomRight" activeCell="AU19" sqref="AU19"/>
    </sheetView>
  </sheetViews>
  <sheetFormatPr baseColWidth="10" defaultColWidth="11.42578125" defaultRowHeight="15" outlineLevelRow="1" outlineLevelCol="2"/>
  <cols>
    <col min="1" max="1" width="5.42578125" style="2" customWidth="1"/>
    <col min="2" max="2" width="39.7109375" style="2" customWidth="1"/>
    <col min="3" max="3" width="42.140625" style="16" customWidth="1"/>
    <col min="4" max="23" width="9.42578125" style="2" hidden="1" customWidth="1" outlineLevel="2"/>
    <col min="24" max="31" width="9.42578125" style="2" hidden="1" customWidth="1" outlineLevel="1"/>
    <col min="32" max="32" width="9.42578125" style="2" customWidth="1" collapsed="1"/>
    <col min="33" max="44" width="9.42578125" style="2" customWidth="1"/>
    <col min="45" max="16384" width="11.42578125" style="2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75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52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51</v>
      </c>
      <c r="C5" s="94" t="s">
        <v>63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50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66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49" customFormat="1">
      <c r="B11" s="152" t="s">
        <v>171</v>
      </c>
      <c r="C11" s="21" t="s">
        <v>61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>
        <f>SUM(X12:X18)</f>
        <v>933.24992510833397</v>
      </c>
      <c r="Y11" s="169">
        <f t="shared" ref="Y11:AJ11" si="0">SUM(Y12:Y18)</f>
        <v>907.61519746442616</v>
      </c>
      <c r="Z11" s="169">
        <f t="shared" si="0"/>
        <v>916.9453851456268</v>
      </c>
      <c r="AA11" s="169">
        <f t="shared" si="0"/>
        <v>936.61024843068321</v>
      </c>
      <c r="AB11" s="169">
        <f t="shared" si="0"/>
        <v>895.23186610890082</v>
      </c>
      <c r="AC11" s="169">
        <f t="shared" si="0"/>
        <v>898.60565289834415</v>
      </c>
      <c r="AD11" s="169">
        <f t="shared" si="0"/>
        <v>899.03011520454095</v>
      </c>
      <c r="AE11" s="169">
        <f t="shared" si="0"/>
        <v>886.27976281201245</v>
      </c>
      <c r="AF11" s="169">
        <f t="shared" si="0"/>
        <v>850.13500067779694</v>
      </c>
      <c r="AG11" s="169">
        <f t="shared" si="0"/>
        <v>798.00052872004926</v>
      </c>
      <c r="AH11" s="169">
        <f t="shared" si="0"/>
        <v>730.97237165918796</v>
      </c>
      <c r="AI11" s="169">
        <f t="shared" si="0"/>
        <v>762.77266693794411</v>
      </c>
      <c r="AJ11" s="169">
        <f t="shared" si="0"/>
        <v>749.26642416825359</v>
      </c>
      <c r="AK11" s="169">
        <f t="shared" ref="AK11:AL11" si="1">SUM(AK12:AK18)</f>
        <v>669.57836046385864</v>
      </c>
      <c r="AL11" s="169">
        <f t="shared" si="1"/>
        <v>649.76951839196227</v>
      </c>
      <c r="AM11" s="169">
        <f>SUM(AM12:AM18)</f>
        <v>648.86663662894364</v>
      </c>
      <c r="AN11" s="169"/>
      <c r="AO11" s="169"/>
      <c r="AP11" s="169"/>
      <c r="AQ11" s="169"/>
      <c r="AR11" s="169"/>
    </row>
    <row r="12" spans="2:44" s="10" customFormat="1" ht="18.75" customHeight="1">
      <c r="B12" s="5" t="s">
        <v>8</v>
      </c>
      <c r="C12" s="19" t="s">
        <v>61</v>
      </c>
      <c r="D12" s="20">
        <f>(THG!C9)/1000</f>
        <v>474.77680337871828</v>
      </c>
      <c r="E12" s="20">
        <f>(THG!D9)/1000</f>
        <v>459.94969694106851</v>
      </c>
      <c r="F12" s="20">
        <f>(THG!E9)/1000</f>
        <v>435.6798886223163</v>
      </c>
      <c r="G12" s="20">
        <f>(THG!F9)/1000</f>
        <v>425.92986593222639</v>
      </c>
      <c r="H12" s="20">
        <f>(THG!G9)/1000</f>
        <v>420.01911236192666</v>
      </c>
      <c r="I12" s="20">
        <f>(THG!H9)/1000</f>
        <v>406.94080164079946</v>
      </c>
      <c r="J12" s="20">
        <f>(THG!I9)/1000</f>
        <v>412.87698466710913</v>
      </c>
      <c r="K12" s="20">
        <f>(THG!J9)/1000</f>
        <v>391.01389023175915</v>
      </c>
      <c r="L12" s="20">
        <f>(THG!K9)/1000</f>
        <v>390.96433555439626</v>
      </c>
      <c r="M12" s="20">
        <f>(THG!L9)/1000</f>
        <v>379.99262346413963</v>
      </c>
      <c r="N12" s="20">
        <f>(THG!M9)/1000</f>
        <v>390.84830928828632</v>
      </c>
      <c r="O12" s="20">
        <f>(THG!N9)/1000</f>
        <v>400.84600433636973</v>
      </c>
      <c r="P12" s="20">
        <f>(THG!O9)/1000</f>
        <v>400.96086881352034</v>
      </c>
      <c r="Q12" s="20">
        <f>(THG!P9)/1000</f>
        <v>416.9776241487674</v>
      </c>
      <c r="R12" s="20">
        <f>(THG!Q9)/1000</f>
        <v>411.59629070904117</v>
      </c>
      <c r="S12" s="20">
        <f>(THG!R9)/1000</f>
        <v>402.60487927863363</v>
      </c>
      <c r="T12" s="20">
        <f>(THG!S9)/1000</f>
        <v>403.12684418138343</v>
      </c>
      <c r="U12" s="20">
        <f>(THG!T9)/1000</f>
        <v>405.77941336919014</v>
      </c>
      <c r="V12" s="20">
        <f>(THG!U9)/1000</f>
        <v>388.02036403583628</v>
      </c>
      <c r="W12" s="20">
        <f>(THG!V9)/1000</f>
        <v>362.05252022394586</v>
      </c>
      <c r="X12" s="20">
        <f>(THG!W9)/1000</f>
        <v>372.58877733130129</v>
      </c>
      <c r="Y12" s="20">
        <f>(THG!X9)/1000</f>
        <v>367.93689474418659</v>
      </c>
      <c r="Z12" s="20">
        <f>(THG!Y9)/1000</f>
        <v>379.78397467371877</v>
      </c>
      <c r="AA12" s="20">
        <f>(THG!Z9)/1000</f>
        <v>384.36839643022091</v>
      </c>
      <c r="AB12" s="20">
        <f>(THG!AA9)/1000</f>
        <v>363.02210331471542</v>
      </c>
      <c r="AC12" s="20">
        <f>(THG!AB9)/1000</f>
        <v>351.6921278761219</v>
      </c>
      <c r="AD12" s="20">
        <f>(THG!AC9)/1000</f>
        <v>346.38866096609632</v>
      </c>
      <c r="AE12" s="20">
        <f>(THG!AD9)/1000</f>
        <v>326.85620346245787</v>
      </c>
      <c r="AF12" s="20">
        <f>(THG!AE9)/1000</f>
        <v>311.70204315861605</v>
      </c>
      <c r="AG12" s="20">
        <f>(THG!AF9)/1000</f>
        <v>259.17761168640862</v>
      </c>
      <c r="AH12" s="163">
        <f>(THG!AG9)/1000</f>
        <v>220.09520850316858</v>
      </c>
      <c r="AI12" s="163">
        <f>(THG!AH9)/1000</f>
        <v>247.78248387902258</v>
      </c>
      <c r="AJ12" s="163">
        <f>(THG!AI9)/1000</f>
        <v>258.06791392407115</v>
      </c>
      <c r="AK12" s="163">
        <f>(THG!AJ9)/1000</f>
        <v>204.82888876446282</v>
      </c>
      <c r="AL12" s="163">
        <f>(THG!AK9)/1000</f>
        <v>189.69859171527955</v>
      </c>
      <c r="AM12" s="163">
        <f>(THG!AL9)/1000</f>
        <v>189.08795293816465</v>
      </c>
      <c r="AN12" s="26"/>
      <c r="AO12" s="26"/>
      <c r="AP12" s="26"/>
      <c r="AQ12" s="26"/>
      <c r="AR12" s="26"/>
    </row>
    <row r="13" spans="2:44" ht="18.75" customHeight="1">
      <c r="B13" s="6" t="s">
        <v>9</v>
      </c>
      <c r="C13" s="21" t="s">
        <v>61</v>
      </c>
      <c r="D13" s="81">
        <f>(THG!C14)/1000</f>
        <v>277.64153683104769</v>
      </c>
      <c r="E13" s="81">
        <f>(THG!D14)/1000</f>
        <v>252.31426791676498</v>
      </c>
      <c r="F13" s="81">
        <f>(THG!E14)/1000</f>
        <v>241.00479582556795</v>
      </c>
      <c r="G13" s="81">
        <f>(THG!F14)/1000</f>
        <v>231.28309083618817</v>
      </c>
      <c r="H13" s="81">
        <f>(THG!G14)/1000</f>
        <v>234.84056647210426</v>
      </c>
      <c r="I13" s="81">
        <f>(THG!H14)/1000</f>
        <v>236.72099089581363</v>
      </c>
      <c r="J13" s="81">
        <f>(THG!I14)/1000</f>
        <v>225.51280886653191</v>
      </c>
      <c r="K13" s="81">
        <f>(THG!J14)/1000</f>
        <v>230.06561894107443</v>
      </c>
      <c r="L13" s="81">
        <f>(THG!K14)/1000</f>
        <v>213.08845530491044</v>
      </c>
      <c r="M13" s="81">
        <f>(THG!L14)/1000</f>
        <v>202.99932817482778</v>
      </c>
      <c r="N13" s="81">
        <f>(THG!M14)/1000</f>
        <v>202.49348842715295</v>
      </c>
      <c r="O13" s="81">
        <f>(THG!N14)/1000</f>
        <v>191.95188884084277</v>
      </c>
      <c r="P13" s="81">
        <f>(THG!O14)/1000</f>
        <v>189.74193117948465</v>
      </c>
      <c r="Q13" s="81">
        <f>(THG!P14)/1000</f>
        <v>189.05979832589014</v>
      </c>
      <c r="R13" s="81">
        <f>(THG!Q14)/1000</f>
        <v>189.06111663462431</v>
      </c>
      <c r="S13" s="81">
        <f>(THG!R14)/1000</f>
        <v>186.27827466313215</v>
      </c>
      <c r="T13" s="81">
        <f>(THG!S14)/1000</f>
        <v>190.83887444737042</v>
      </c>
      <c r="U13" s="81">
        <f>(THG!T14)/1000</f>
        <v>198.98082880893148</v>
      </c>
      <c r="V13" s="81">
        <f>(THG!U14)/1000</f>
        <v>195.50287698129108</v>
      </c>
      <c r="W13" s="81">
        <f>(THG!V14)/1000</f>
        <v>169.8627423092137</v>
      </c>
      <c r="X13" s="81">
        <f>(THG!W14)/1000</f>
        <v>183.72861264169111</v>
      </c>
      <c r="Y13" s="81">
        <f>(THG!X14)/1000</f>
        <v>181.73545932119652</v>
      </c>
      <c r="Z13" s="81">
        <f>(THG!Y14)/1000</f>
        <v>176.98806789199159</v>
      </c>
      <c r="AA13" s="81">
        <f>(THG!Z14)/1000</f>
        <v>176.90691866347069</v>
      </c>
      <c r="AB13" s="81">
        <f>(THG!AA14)/1000</f>
        <v>176.05277993746981</v>
      </c>
      <c r="AC13" s="81">
        <f>(THG!AB14)/1000</f>
        <v>182.8789630987412</v>
      </c>
      <c r="AD13" s="81">
        <f>(THG!AC14)/1000</f>
        <v>186.57138369634714</v>
      </c>
      <c r="AE13" s="81">
        <f>(THG!AD14)/1000</f>
        <v>192.30405291449762</v>
      </c>
      <c r="AF13" s="81">
        <f>(THG!AE14)/1000</f>
        <v>184.73248464085813</v>
      </c>
      <c r="AG13" s="81">
        <f>(THG!AF14)/1000</f>
        <v>179.00608427761014</v>
      </c>
      <c r="AH13" s="169">
        <f>(THG!AG14)/1000</f>
        <v>172.32714236985967</v>
      </c>
      <c r="AI13" s="169">
        <f>(THG!AH14)/1000</f>
        <v>180.07211795118846</v>
      </c>
      <c r="AJ13" s="169">
        <f>(THG!AI14)/1000</f>
        <v>164.24562316678845</v>
      </c>
      <c r="AK13" s="169">
        <f>(THG!AJ14)/1000</f>
        <v>149.71988883248548</v>
      </c>
      <c r="AL13" s="169">
        <f>(THG!AK14)/1000</f>
        <v>149.76712492260268</v>
      </c>
      <c r="AM13" s="169">
        <f>(THG!AL14)/1000</f>
        <v>144.14168907995369</v>
      </c>
      <c r="AN13" s="25"/>
      <c r="AO13" s="25"/>
      <c r="AP13" s="25"/>
      <c r="AQ13" s="25"/>
      <c r="AR13" s="25"/>
    </row>
    <row r="14" spans="2:44" ht="18.75" customHeight="1">
      <c r="B14" s="34" t="s">
        <v>10</v>
      </c>
      <c r="C14" s="35" t="s">
        <v>61</v>
      </c>
      <c r="D14" s="20">
        <f>(THG!C21)/1000</f>
        <v>210.02718395860447</v>
      </c>
      <c r="E14" s="20">
        <f>(THG!D21)/1000</f>
        <v>208.43218191371491</v>
      </c>
      <c r="F14" s="20">
        <f>(THG!E21)/1000</f>
        <v>190.27745833234601</v>
      </c>
      <c r="G14" s="20">
        <f>(THG!F21)/1000</f>
        <v>197.00598901780018</v>
      </c>
      <c r="H14" s="20">
        <f>(THG!G21)/1000</f>
        <v>186.22455899557067</v>
      </c>
      <c r="I14" s="20">
        <f>(THG!H21)/1000</f>
        <v>187.71103813361719</v>
      </c>
      <c r="J14" s="20">
        <f>(THG!I21)/1000</f>
        <v>210.88461571151709</v>
      </c>
      <c r="K14" s="20">
        <f>(THG!J21)/1000</f>
        <v>197.65422637239175</v>
      </c>
      <c r="L14" s="20">
        <f>(THG!K21)/1000</f>
        <v>189.51066137449766</v>
      </c>
      <c r="M14" s="20">
        <f>(THG!L21)/1000</f>
        <v>172.83128623370749</v>
      </c>
      <c r="N14" s="20">
        <f>(THG!M21)/1000</f>
        <v>166.7892327464798</v>
      </c>
      <c r="O14" s="20">
        <f>(THG!N21)/1000</f>
        <v>187.07921984220835</v>
      </c>
      <c r="P14" s="20">
        <f>(THG!O21)/1000</f>
        <v>174.08060753960373</v>
      </c>
      <c r="Q14" s="20">
        <f>(THG!P21)/1000</f>
        <v>164.26662697284269</v>
      </c>
      <c r="R14" s="20">
        <f>(THG!Q21)/1000</f>
        <v>152.47315960192765</v>
      </c>
      <c r="S14" s="20">
        <f>(THG!R21)/1000</f>
        <v>151.28573283419718</v>
      </c>
      <c r="T14" s="20">
        <f>(THG!S21)/1000</f>
        <v>160.69538252059579</v>
      </c>
      <c r="U14" s="20">
        <f>(THG!T21)/1000</f>
        <v>122.28272021639604</v>
      </c>
      <c r="V14" s="20">
        <f>(THG!U21)/1000</f>
        <v>147.3433577831774</v>
      </c>
      <c r="W14" s="20">
        <f>(THG!V21)/1000</f>
        <v>137.06661941838667</v>
      </c>
      <c r="X14" s="20">
        <f>(THG!W21)/1000</f>
        <v>145.03437013705775</v>
      </c>
      <c r="Y14" s="20">
        <f>(THG!X21)/1000</f>
        <v>124.85841015963605</v>
      </c>
      <c r="Z14" s="20">
        <f>(THG!Y21)/1000</f>
        <v>129.5906503449369</v>
      </c>
      <c r="AA14" s="20">
        <f>(THG!Z21)/1000</f>
        <v>140.24088491850219</v>
      </c>
      <c r="AB14" s="20">
        <f>(THG!AA21)/1000</f>
        <v>118.63645805072534</v>
      </c>
      <c r="AC14" s="20">
        <f>(THG!AB21)/1000</f>
        <v>124.78356999675545</v>
      </c>
      <c r="AD14" s="20">
        <f>(THG!AC21)/1000</f>
        <v>124.1617541317565</v>
      </c>
      <c r="AE14" s="20">
        <f>(THG!AD21)/1000</f>
        <v>122.98235301164566</v>
      </c>
      <c r="AF14" s="20">
        <f>(THG!AE21)/1000</f>
        <v>117.68587978898627</v>
      </c>
      <c r="AG14" s="20">
        <f>(THG!AF21)/1000</f>
        <v>123.48208895026859</v>
      </c>
      <c r="AH14" s="163">
        <f>(THG!AG21)/1000</f>
        <v>121.56194533243483</v>
      </c>
      <c r="AI14" s="163">
        <f>(THG!AH21)/1000</f>
        <v>117.95820040067062</v>
      </c>
      <c r="AJ14" s="163">
        <f>(THG!AI21)/1000</f>
        <v>111.31260961258033</v>
      </c>
      <c r="AK14" s="163">
        <f>(THG!AJ21)/1000</f>
        <v>102.3588389695604</v>
      </c>
      <c r="AL14" s="163">
        <f>(THG!AK21)/1000</f>
        <v>99.998028143157129</v>
      </c>
      <c r="AM14" s="163">
        <f>(THG!AL21)/1000</f>
        <v>103.36586664073803</v>
      </c>
      <c r="AN14" s="26"/>
      <c r="AO14" s="26"/>
      <c r="AP14" s="26"/>
      <c r="AQ14" s="26"/>
      <c r="AR14" s="26"/>
    </row>
    <row r="15" spans="2:44" ht="18.75" customHeight="1">
      <c r="B15" s="6" t="s">
        <v>14</v>
      </c>
      <c r="C15" s="21" t="s">
        <v>61</v>
      </c>
      <c r="D15" s="81">
        <f>(THG!C26)/1000</f>
        <v>163.35536616760314</v>
      </c>
      <c r="E15" s="81">
        <f>(THG!D26)/1000</f>
        <v>166.30323762202707</v>
      </c>
      <c r="F15" s="81">
        <f>(THG!E26)/1000</f>
        <v>172.16792788304127</v>
      </c>
      <c r="G15" s="81">
        <f>(THG!F26)/1000</f>
        <v>176.49286454758715</v>
      </c>
      <c r="H15" s="81">
        <f>(THG!G26)/1000</f>
        <v>172.46321860050696</v>
      </c>
      <c r="I15" s="81">
        <f>(THG!H26)/1000</f>
        <v>176.12248168420376</v>
      </c>
      <c r="J15" s="81">
        <f>(THG!I26)/1000</f>
        <v>175.70638359170007</v>
      </c>
      <c r="K15" s="81">
        <f>(THG!J26)/1000</f>
        <v>176.12093158889891</v>
      </c>
      <c r="L15" s="81">
        <f>(THG!K26)/1000</f>
        <v>179.39653596171186</v>
      </c>
      <c r="M15" s="81">
        <f>(THG!L26)/1000</f>
        <v>184.52966219477804</v>
      </c>
      <c r="N15" s="81">
        <f>(THG!M26)/1000</f>
        <v>180.58638520062698</v>
      </c>
      <c r="O15" s="81">
        <f>(THG!N26)/1000</f>
        <v>176.69377167274567</v>
      </c>
      <c r="P15" s="81">
        <f>(THG!O26)/1000</f>
        <v>174.18331703402407</v>
      </c>
      <c r="Q15" s="81">
        <f>(THG!P26)/1000</f>
        <v>167.44153572815895</v>
      </c>
      <c r="R15" s="81">
        <f>(THG!Q26)/1000</f>
        <v>167.35069391533409</v>
      </c>
      <c r="S15" s="81">
        <f>(THG!R26)/1000</f>
        <v>160.70050537524637</v>
      </c>
      <c r="T15" s="81">
        <f>(THG!S26)/1000</f>
        <v>161.88145271585884</v>
      </c>
      <c r="U15" s="81">
        <f>(THG!T26)/1000</f>
        <v>152.0726211008666</v>
      </c>
      <c r="V15" s="81">
        <f>(THG!U26)/1000</f>
        <v>151.65221981268371</v>
      </c>
      <c r="W15" s="81">
        <f>(THG!V26)/1000</f>
        <v>151.25592402333035</v>
      </c>
      <c r="X15" s="81">
        <f>(THG!W26)/1000</f>
        <v>151.91064588226837</v>
      </c>
      <c r="Y15" s="81">
        <f>(THG!X26)/1000</f>
        <v>153.56095097371428</v>
      </c>
      <c r="Z15" s="81">
        <f>(THG!Y26)/1000</f>
        <v>152.08618806966663</v>
      </c>
      <c r="AA15" s="81">
        <f>(THG!Z26)/1000</f>
        <v>156.03311623669646</v>
      </c>
      <c r="AB15" s="81">
        <f>(THG!AA26)/1000</f>
        <v>157.63757298831274</v>
      </c>
      <c r="AC15" s="81">
        <f>(THG!AB26)/1000</f>
        <v>161.09044280870424</v>
      </c>
      <c r="AD15" s="81">
        <f>(THG!AC26)/1000</f>
        <v>163.8923928993205</v>
      </c>
      <c r="AE15" s="81">
        <f>(THG!AD26)/1000</f>
        <v>167.27937411929673</v>
      </c>
      <c r="AF15" s="81">
        <f>(THG!AE26)/1000</f>
        <v>162.63734410803056</v>
      </c>
      <c r="AG15" s="81">
        <f>(THG!AF26)/1000</f>
        <v>163.62252220400541</v>
      </c>
      <c r="AH15" s="169">
        <f>(THG!AG26)/1000</f>
        <v>145.89515044332205</v>
      </c>
      <c r="AI15" s="169">
        <f>(THG!AH26)/1000</f>
        <v>146.81228818570358</v>
      </c>
      <c r="AJ15" s="169">
        <f>(THG!AI26)/1000</f>
        <v>148.07028751224166</v>
      </c>
      <c r="AK15" s="169">
        <f>(THG!AJ26)/1000</f>
        <v>144.47872767333922</v>
      </c>
      <c r="AL15" s="169">
        <f>(THG!AK26)/1000</f>
        <v>144.18232724657935</v>
      </c>
      <c r="AM15" s="169">
        <f>(THG!AL26)/1000</f>
        <v>146.30515581176434</v>
      </c>
      <c r="AN15" s="25"/>
      <c r="AO15" s="25"/>
      <c r="AP15" s="25"/>
      <c r="AQ15" s="25"/>
      <c r="AR15" s="25"/>
    </row>
    <row r="16" spans="2:44" s="10" customFormat="1" ht="18.75" customHeight="1">
      <c r="B16" s="5" t="s">
        <v>15</v>
      </c>
      <c r="C16" s="19" t="s">
        <v>61</v>
      </c>
      <c r="D16" s="20">
        <f>(THG!C32)/1000</f>
        <v>85.776819711507855</v>
      </c>
      <c r="E16" s="20">
        <f>(THG!D32)/1000</f>
        <v>76.296539535954849</v>
      </c>
      <c r="F16" s="20">
        <f>(THG!E32)/1000</f>
        <v>75.156390526450338</v>
      </c>
      <c r="G16" s="20">
        <f>(THG!F32)/1000</f>
        <v>74.360189429137563</v>
      </c>
      <c r="H16" s="20">
        <f>(THG!G32)/1000</f>
        <v>74.934669624752772</v>
      </c>
      <c r="I16" s="20">
        <f>(THG!H32)/1000</f>
        <v>74.844108020139714</v>
      </c>
      <c r="J16" s="20">
        <f>(THG!I32)/1000</f>
        <v>75.949608979255302</v>
      </c>
      <c r="K16" s="20">
        <f>(THG!J32)/1000</f>
        <v>73.963672982207967</v>
      </c>
      <c r="L16" s="20">
        <f>(THG!K32)/1000</f>
        <v>73.589188781903005</v>
      </c>
      <c r="M16" s="20">
        <f>(THG!L32)/1000</f>
        <v>73.737611685089547</v>
      </c>
      <c r="N16" s="20">
        <f>(THG!M32)/1000</f>
        <v>72.708344376258566</v>
      </c>
      <c r="O16" s="20">
        <f>(THG!N32)/1000</f>
        <v>72.942642855525463</v>
      </c>
      <c r="P16" s="20">
        <f>(THG!O32)/1000</f>
        <v>71.843233178534277</v>
      </c>
      <c r="Q16" s="20">
        <f>(THG!P32)/1000</f>
        <v>68.730903151505345</v>
      </c>
      <c r="R16" s="20">
        <f>(THG!Q32)/1000</f>
        <v>68.705847786067395</v>
      </c>
      <c r="S16" s="20">
        <f>(THG!R32)/1000</f>
        <v>68.247440802044238</v>
      </c>
      <c r="T16" s="20">
        <f>(THG!S32)/1000</f>
        <v>67.698143210464181</v>
      </c>
      <c r="U16" s="20">
        <f>(THG!T32)/1000</f>
        <v>68.15851249666045</v>
      </c>
      <c r="V16" s="20">
        <f>(THG!U32)/1000</f>
        <v>67.567024212692885</v>
      </c>
      <c r="W16" s="20">
        <f>(THG!V32)/1000</f>
        <v>67.601242753802921</v>
      </c>
      <c r="X16" s="20">
        <f>(THG!W32)/1000</f>
        <v>67.795567311718315</v>
      </c>
      <c r="Y16" s="20">
        <f>(THG!X32)/1000</f>
        <v>68.214170448732247</v>
      </c>
      <c r="Z16" s="20">
        <f>(THG!Y32)/1000</f>
        <v>68.013050823684907</v>
      </c>
      <c r="AA16" s="20">
        <f>(THG!Z32)/1000</f>
        <v>69.373201402205154</v>
      </c>
      <c r="AB16" s="20">
        <f>(THG!AA32)/1000</f>
        <v>70.820628331803888</v>
      </c>
      <c r="AC16" s="20">
        <f>(THG!AB32)/1000</f>
        <v>69.717072689616643</v>
      </c>
      <c r="AD16" s="20">
        <f>(THG!AC32)/1000</f>
        <v>70.111547703125282</v>
      </c>
      <c r="AE16" s="20">
        <f>(THG!AD32)/1000</f>
        <v>69.331952256734809</v>
      </c>
      <c r="AF16" s="20">
        <f>(THG!AE32)/1000</f>
        <v>66.245973720612625</v>
      </c>
      <c r="AG16" s="20">
        <f>(THG!AF32)/1000</f>
        <v>66.105897936157163</v>
      </c>
      <c r="AH16" s="163">
        <f>(THG!AG32)/1000</f>
        <v>64.97468939242593</v>
      </c>
      <c r="AI16" s="163">
        <f>(THG!AH32)/1000</f>
        <v>64.238336695656002</v>
      </c>
      <c r="AJ16" s="163">
        <f>(THG!AI32)/1000</f>
        <v>61.920176584801617</v>
      </c>
      <c r="AK16" s="163">
        <f>(THG!AJ32)/1000</f>
        <v>62.74273533616168</v>
      </c>
      <c r="AL16" s="163">
        <f>(THG!AK32)/1000</f>
        <v>60.846136464729106</v>
      </c>
      <c r="AM16" s="163">
        <f>(THG!AL32)/1000</f>
        <v>60.842481207611776</v>
      </c>
      <c r="AN16" s="26"/>
      <c r="AO16" s="26"/>
      <c r="AP16" s="26"/>
      <c r="AQ16" s="26"/>
      <c r="AR16" s="26"/>
    </row>
    <row r="17" spans="2:44" s="10" customFormat="1" ht="18.75" customHeight="1">
      <c r="B17" s="6" t="s">
        <v>16</v>
      </c>
      <c r="C17" s="21" t="s">
        <v>61</v>
      </c>
      <c r="D17" s="81">
        <f>(THG!C42)/1000</f>
        <v>41.550208209684953</v>
      </c>
      <c r="E17" s="81">
        <f>(THG!D42)/1000</f>
        <v>43.096386910464247</v>
      </c>
      <c r="F17" s="81">
        <f>(THG!E42)/1000</f>
        <v>43.690552789579272</v>
      </c>
      <c r="G17" s="81">
        <f>(THG!F42)/1000</f>
        <v>43.410594571395734</v>
      </c>
      <c r="H17" s="81">
        <f>(THG!G42)/1000</f>
        <v>42.331817932506027</v>
      </c>
      <c r="I17" s="81">
        <f>(THG!H42)/1000</f>
        <v>41.064653718503017</v>
      </c>
      <c r="J17" s="81">
        <f>(THG!I42)/1000</f>
        <v>39.269523659810076</v>
      </c>
      <c r="K17" s="81">
        <f>(THG!J42)/1000</f>
        <v>35.964229901993093</v>
      </c>
      <c r="L17" s="81">
        <f>(THG!K42)/1000</f>
        <v>33.433339536685175</v>
      </c>
      <c r="M17" s="81">
        <f>(THG!L42)/1000</f>
        <v>31.44701707691074</v>
      </c>
      <c r="N17" s="81">
        <f>(THG!M42)/1000</f>
        <v>29.572460032452174</v>
      </c>
      <c r="O17" s="81">
        <f>(THG!N42)/1000</f>
        <v>27.56882034829254</v>
      </c>
      <c r="P17" s="81">
        <f>(THG!O42)/1000</f>
        <v>25.848040379858077</v>
      </c>
      <c r="Q17" s="81">
        <f>(THG!P42)/1000</f>
        <v>24.062269037338847</v>
      </c>
      <c r="R17" s="81">
        <f>(THG!Q42)/1000</f>
        <v>21.489217535313593</v>
      </c>
      <c r="S17" s="81">
        <f>(THG!R42)/1000</f>
        <v>19.830658338951437</v>
      </c>
      <c r="T17" s="81">
        <f>(THG!S42)/1000</f>
        <v>17.758310821011335</v>
      </c>
      <c r="U17" s="81">
        <f>(THG!T42)/1000</f>
        <v>16.236759090921446</v>
      </c>
      <c r="V17" s="81">
        <f>(THG!U42)/1000</f>
        <v>14.839270182314303</v>
      </c>
      <c r="W17" s="81">
        <f>(THG!V42)/1000</f>
        <v>13.445488095760965</v>
      </c>
      <c r="X17" s="81">
        <f>(THG!W42)/1000</f>
        <v>12.191951804297188</v>
      </c>
      <c r="Y17" s="81">
        <f>(THG!X42)/1000</f>
        <v>11.309311816960442</v>
      </c>
      <c r="Z17" s="81">
        <f>(THG!Y42)/1000</f>
        <v>10.483453341628131</v>
      </c>
      <c r="AA17" s="81">
        <f>(THG!Z42)/1000</f>
        <v>9.6877307795879641</v>
      </c>
      <c r="AB17" s="81">
        <f>(THG!AA42)/1000</f>
        <v>9.0623234858736179</v>
      </c>
      <c r="AC17" s="81">
        <f>(THG!AB42)/1000</f>
        <v>8.4434764284048285</v>
      </c>
      <c r="AD17" s="81">
        <f>(THG!AC42)/1000</f>
        <v>7.9043758078951205</v>
      </c>
      <c r="AE17" s="81">
        <f>(THG!AD42)/1000</f>
        <v>7.5258270473799262</v>
      </c>
      <c r="AF17" s="81">
        <f>(THG!AE42)/1000</f>
        <v>7.1312752606933367</v>
      </c>
      <c r="AG17" s="81">
        <f>(THG!AF42)/1000</f>
        <v>6.606323665599354</v>
      </c>
      <c r="AH17" s="169">
        <f>(THG!AG42)/1000</f>
        <v>6.1182356179770174</v>
      </c>
      <c r="AI17" s="169">
        <f>(THG!AH42)/1000</f>
        <v>5.9092398257029579</v>
      </c>
      <c r="AJ17" s="169">
        <f>(THG!AI42)/1000</f>
        <v>5.6498133677704585</v>
      </c>
      <c r="AK17" s="169">
        <f>(THG!AJ42)/1000</f>
        <v>5.4492808878491443</v>
      </c>
      <c r="AL17" s="169">
        <f>(THG!AK42)/1000</f>
        <v>5.2773098996146075</v>
      </c>
      <c r="AM17" s="169">
        <f>(THG!AL42)/1000</f>
        <v>5.1234909507111492</v>
      </c>
      <c r="AN17" s="25"/>
      <c r="AO17" s="25"/>
      <c r="AP17" s="25"/>
      <c r="AQ17" s="25"/>
      <c r="AR17" s="25"/>
    </row>
    <row r="18" spans="2:44" ht="18.75" customHeight="1">
      <c r="B18" s="5" t="s">
        <v>72</v>
      </c>
      <c r="C18" s="19" t="s">
        <v>61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165"/>
      <c r="AL18" s="165"/>
      <c r="AM18" s="165"/>
      <c r="AN18" s="26"/>
      <c r="AO18" s="26"/>
      <c r="AP18" s="26"/>
      <c r="AQ18" s="26"/>
      <c r="AR18" s="26"/>
    </row>
    <row r="19" spans="2:44" s="149" customFormat="1" ht="22.5" customHeight="1">
      <c r="B19" s="3"/>
      <c r="C19" s="12"/>
      <c r="D19" s="23"/>
      <c r="E19" s="2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4" s="149" customFormat="1">
      <c r="B20" s="173" t="s">
        <v>172</v>
      </c>
      <c r="C20" s="162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91"/>
      <c r="AJ20" s="195"/>
      <c r="AK20" s="165"/>
      <c r="AL20" s="165"/>
      <c r="AM20" s="165"/>
      <c r="AN20" s="165"/>
      <c r="AO20" s="165"/>
      <c r="AP20" s="165"/>
      <c r="AQ20" s="165"/>
      <c r="AR20" s="165"/>
    </row>
    <row r="21" spans="2:44" s="149" customFormat="1">
      <c r="B21" s="150" t="s">
        <v>66</v>
      </c>
      <c r="C21" s="157"/>
      <c r="D21" s="154">
        <v>32874</v>
      </c>
      <c r="E21" s="154">
        <v>33239</v>
      </c>
      <c r="F21" s="154">
        <v>33604</v>
      </c>
      <c r="G21" s="154">
        <v>33970</v>
      </c>
      <c r="H21" s="154">
        <v>34335</v>
      </c>
      <c r="I21" s="154">
        <v>34700</v>
      </c>
      <c r="J21" s="154">
        <v>35065</v>
      </c>
      <c r="K21" s="154">
        <v>35431</v>
      </c>
      <c r="L21" s="154">
        <v>35796</v>
      </c>
      <c r="M21" s="154">
        <v>36161</v>
      </c>
      <c r="N21" s="154">
        <v>36526</v>
      </c>
      <c r="O21" s="154">
        <v>36892</v>
      </c>
      <c r="P21" s="154">
        <v>37257</v>
      </c>
      <c r="Q21" s="154">
        <v>37622</v>
      </c>
      <c r="R21" s="154">
        <v>37987</v>
      </c>
      <c r="S21" s="154">
        <v>38353</v>
      </c>
      <c r="T21" s="154">
        <v>38718</v>
      </c>
      <c r="U21" s="154">
        <v>39083</v>
      </c>
      <c r="V21" s="154">
        <v>39448</v>
      </c>
      <c r="W21" s="154">
        <v>39814</v>
      </c>
      <c r="X21" s="154">
        <v>40179</v>
      </c>
      <c r="Y21" s="154">
        <v>40544</v>
      </c>
      <c r="Z21" s="154">
        <v>40909</v>
      </c>
      <c r="AA21" s="154">
        <v>41275</v>
      </c>
      <c r="AB21" s="154">
        <v>41640</v>
      </c>
      <c r="AC21" s="154">
        <v>42005</v>
      </c>
      <c r="AD21" s="154">
        <v>42370</v>
      </c>
      <c r="AE21" s="154">
        <v>42736</v>
      </c>
      <c r="AF21" s="154">
        <v>43101</v>
      </c>
      <c r="AG21" s="154">
        <v>43466</v>
      </c>
      <c r="AH21" s="189">
        <v>43831</v>
      </c>
      <c r="AI21" s="154">
        <v>44197</v>
      </c>
      <c r="AJ21" s="189">
        <v>44562</v>
      </c>
      <c r="AK21" s="154">
        <v>44927</v>
      </c>
      <c r="AL21" s="154">
        <v>45292</v>
      </c>
      <c r="AM21" s="154">
        <v>45658</v>
      </c>
      <c r="AN21" s="154">
        <v>46023</v>
      </c>
      <c r="AO21" s="154">
        <v>46388</v>
      </c>
      <c r="AP21" s="154">
        <v>46753</v>
      </c>
      <c r="AQ21" s="154">
        <v>47119</v>
      </c>
      <c r="AR21" s="154">
        <v>47484</v>
      </c>
    </row>
    <row r="22" spans="2:44" s="149" customFormat="1">
      <c r="B22" s="152" t="s">
        <v>171</v>
      </c>
      <c r="C22" s="159" t="s">
        <v>141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9">
        <f t="shared" ref="AH22:AI24" si="2">AH251</f>
        <v>813</v>
      </c>
      <c r="AI22" s="169">
        <f t="shared" si="2"/>
        <v>786</v>
      </c>
      <c r="AJ22" s="169">
        <f>AJ227</f>
        <v>758.84911016535102</v>
      </c>
      <c r="AK22" s="169">
        <f>AK203</f>
        <v>723.95962367768686</v>
      </c>
      <c r="AL22" s="169">
        <f>AL179</f>
        <v>693.37952355627158</v>
      </c>
      <c r="AM22" s="169">
        <f>AM155</f>
        <v>661.64785775032317</v>
      </c>
      <c r="AN22" s="169">
        <f>AN131</f>
        <v>625.2041019745991</v>
      </c>
      <c r="AO22" s="169">
        <f>AO107</f>
        <v>586.2041019745991</v>
      </c>
      <c r="AP22" s="169">
        <f>AP83</f>
        <v>544.2041019745991</v>
      </c>
      <c r="AQ22" s="169">
        <f>AQ59</f>
        <v>503.20410197459898</v>
      </c>
      <c r="AR22" s="169">
        <f>AR59+AR47/1000</f>
        <v>459.20410197459898</v>
      </c>
    </row>
    <row r="23" spans="2:44" ht="18.75" customHeight="1">
      <c r="B23" s="151" t="s">
        <v>8</v>
      </c>
      <c r="C23" s="162" t="s">
        <v>141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3">
        <f t="shared" si="2"/>
        <v>280</v>
      </c>
      <c r="AI23" s="163" t="e">
        <f t="shared" si="2"/>
        <v>#N/A</v>
      </c>
      <c r="AJ23" s="163">
        <f>AJ228</f>
        <v>257</v>
      </c>
      <c r="AK23" s="163" t="e">
        <f>AK204</f>
        <v>#N/A</v>
      </c>
      <c r="AL23" s="163" t="e">
        <v>#N/A</v>
      </c>
      <c r="AM23" s="163" t="e">
        <v>#N/A</v>
      </c>
      <c r="AN23" s="163" t="e">
        <v>#N/A</v>
      </c>
      <c r="AO23" s="163" t="e">
        <v>#N/A</v>
      </c>
      <c r="AP23" s="163" t="e">
        <v>#N/A</v>
      </c>
      <c r="AQ23" s="163" t="e">
        <v>#N/A</v>
      </c>
      <c r="AR23" s="163">
        <f>AR228+AR216/1000</f>
        <v>107.9776140872485</v>
      </c>
    </row>
    <row r="24" spans="2:44" ht="18.75" customHeight="1">
      <c r="B24" s="152" t="s">
        <v>9</v>
      </c>
      <c r="C24" s="159" t="s">
        <v>141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9">
        <f t="shared" si="2"/>
        <v>186</v>
      </c>
      <c r="AI24" s="169">
        <f t="shared" si="2"/>
        <v>182</v>
      </c>
      <c r="AJ24" s="169">
        <f>AJ229</f>
        <v>176.86086659631175</v>
      </c>
      <c r="AK24" s="169">
        <f>AK205</f>
        <v>172.985406483856</v>
      </c>
      <c r="AL24" s="169">
        <f>AL181</f>
        <v>168.85135902837555</v>
      </c>
      <c r="AM24" s="169">
        <f>AM157</f>
        <v>164.03206471267103</v>
      </c>
      <c r="AN24" s="169">
        <f>AN133</f>
        <v>160.0101398392145</v>
      </c>
      <c r="AO24" s="169">
        <f>AO109</f>
        <v>151.0101398392145</v>
      </c>
      <c r="AP24" s="169">
        <f>AP85</f>
        <v>143.0101398392145</v>
      </c>
      <c r="AQ24" s="169">
        <f>AQ61</f>
        <v>136.01013983921447</v>
      </c>
      <c r="AR24" s="169">
        <f>AR61+AR49/1000</f>
        <v>129.01013983921447</v>
      </c>
    </row>
    <row r="25" spans="2:44" ht="18.75" customHeight="1">
      <c r="B25" s="168" t="s">
        <v>10</v>
      </c>
      <c r="C25" s="162" t="s">
        <v>141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3">
        <f t="shared" ref="AH25:AH28" si="3">AH254</f>
        <v>118</v>
      </c>
      <c r="AI25" s="163">
        <f>AI254</f>
        <v>113</v>
      </c>
      <c r="AJ25" s="163">
        <f t="shared" ref="AJ25:AJ28" si="4">AJ230</f>
        <v>107.44154968536468</v>
      </c>
      <c r="AK25" s="163">
        <f t="shared" ref="AK25:AK26" si="5">AK206</f>
        <v>101.05379676576811</v>
      </c>
      <c r="AL25" s="163">
        <f>AL182</f>
        <v>95.785339132491416</v>
      </c>
      <c r="AM25" s="163">
        <f t="shared" ref="AM25:AM28" si="6">AM158</f>
        <v>90.083224297380468</v>
      </c>
      <c r="AN25" s="163">
        <f t="shared" ref="AN25:AN28" si="7">AN134</f>
        <v>82.426695828708958</v>
      </c>
      <c r="AO25" s="163">
        <f t="shared" ref="AO25:AO28" si="8">AO110</f>
        <v>77.426695828708958</v>
      </c>
      <c r="AP25" s="163">
        <f t="shared" ref="AP25:AP28" si="9">AP86</f>
        <v>72.426695828708958</v>
      </c>
      <c r="AQ25" s="163">
        <f t="shared" ref="AQ25:AQ28" si="10">AQ62</f>
        <v>67.426695828708958</v>
      </c>
      <c r="AR25" s="163">
        <f>AR62+AR50/1000</f>
        <v>62.426695828708958</v>
      </c>
    </row>
    <row r="26" spans="2:44" s="29" customFormat="1" ht="18.75" customHeight="1">
      <c r="B26" s="152" t="s">
        <v>14</v>
      </c>
      <c r="C26" s="159" t="s">
        <v>141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69">
        <f t="shared" si="3"/>
        <v>150</v>
      </c>
      <c r="AI26" s="169">
        <f>AI255</f>
        <v>145</v>
      </c>
      <c r="AJ26" s="169">
        <f t="shared" si="4"/>
        <v>138.80153267406732</v>
      </c>
      <c r="AK26" s="169">
        <f t="shared" si="5"/>
        <v>132.74131421065542</v>
      </c>
      <c r="AL26" s="169">
        <f>AL183</f>
        <v>124.97133643667375</v>
      </c>
      <c r="AM26" s="169">
        <f t="shared" si="6"/>
        <v>116.76950463502281</v>
      </c>
      <c r="AN26" s="169">
        <f t="shared" si="7"/>
        <v>104.86237439967451</v>
      </c>
      <c r="AO26" s="169">
        <f t="shared" si="8"/>
        <v>99.862374399674508</v>
      </c>
      <c r="AP26" s="169">
        <f t="shared" si="9"/>
        <v>92.862374399674508</v>
      </c>
      <c r="AQ26" s="169">
        <f t="shared" si="10"/>
        <v>83.862374399674508</v>
      </c>
      <c r="AR26" s="169">
        <f>AR63+AR51/1000</f>
        <v>72.862374399674508</v>
      </c>
    </row>
    <row r="27" spans="2:44" s="10" customFormat="1" ht="18.75" customHeight="1">
      <c r="B27" s="151" t="s">
        <v>15</v>
      </c>
      <c r="C27" s="162" t="s">
        <v>141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3">
        <f t="shared" si="3"/>
        <v>70</v>
      </c>
      <c r="AI27" s="163">
        <f>AI256</f>
        <v>68</v>
      </c>
      <c r="AJ27" s="163">
        <f t="shared" si="4"/>
        <v>67.592627518947467</v>
      </c>
      <c r="AK27" s="163">
        <f>AK208</f>
        <v>67.362442884434003</v>
      </c>
      <c r="AL27" s="163">
        <f>AL184</f>
        <v>66.991365198110572</v>
      </c>
      <c r="AM27" s="163">
        <f t="shared" si="6"/>
        <v>66.015569987007467</v>
      </c>
      <c r="AN27" s="163">
        <f t="shared" si="7"/>
        <v>66.050187742886607</v>
      </c>
      <c r="AO27" s="163">
        <f t="shared" si="8"/>
        <v>65.050187742886607</v>
      </c>
      <c r="AP27" s="163">
        <f t="shared" si="9"/>
        <v>63.050187742886607</v>
      </c>
      <c r="AQ27" s="163">
        <f t="shared" si="10"/>
        <v>61.050187742886607</v>
      </c>
      <c r="AR27" s="163">
        <f>AR64+AR52/1000</f>
        <v>60.050187742886607</v>
      </c>
    </row>
    <row r="28" spans="2:44" s="10" customFormat="1" ht="18.75" customHeight="1">
      <c r="B28" s="152" t="s">
        <v>16</v>
      </c>
      <c r="C28" s="159" t="s">
        <v>141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9">
        <f t="shared" si="3"/>
        <v>9</v>
      </c>
      <c r="AI28" s="169">
        <f>AI257</f>
        <v>9</v>
      </c>
      <c r="AJ28" s="169">
        <f t="shared" si="4"/>
        <v>8.5006613839937355</v>
      </c>
      <c r="AK28" s="169">
        <f>AK209</f>
        <v>8.8556929007255043</v>
      </c>
      <c r="AL28" s="169">
        <f>AL185</f>
        <v>8.3365028454172929</v>
      </c>
      <c r="AM28" s="169">
        <f t="shared" si="6"/>
        <v>8.8463683363844066</v>
      </c>
      <c r="AN28" s="169">
        <f t="shared" si="7"/>
        <v>8.5909438135190577</v>
      </c>
      <c r="AO28" s="169">
        <f t="shared" si="8"/>
        <v>8.5909438135190577</v>
      </c>
      <c r="AP28" s="169">
        <f t="shared" si="9"/>
        <v>7.5909438135190577</v>
      </c>
      <c r="AQ28" s="169">
        <f t="shared" si="10"/>
        <v>7.5909438135190577</v>
      </c>
      <c r="AR28" s="169">
        <f>AR65+AR53/1000</f>
        <v>6.5909438135190577</v>
      </c>
    </row>
    <row r="29" spans="2:44" ht="18.75" customHeight="1">
      <c r="B29" s="151" t="s">
        <v>72</v>
      </c>
      <c r="C29" s="162" t="s">
        <v>62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</row>
    <row r="30" spans="2:44" ht="18.75" customHeight="1">
      <c r="B30" s="155" t="s">
        <v>191</v>
      </c>
      <c r="C30" s="159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>
        <f>SUM(AH23:AH28)</f>
        <v>813</v>
      </c>
      <c r="AI30" s="166"/>
      <c r="AJ30" s="166">
        <f>SUM(AJ23:AJ28)</f>
        <v>756.19723785868484</v>
      </c>
      <c r="AK30" s="166"/>
      <c r="AL30" s="166"/>
      <c r="AM30" s="166"/>
      <c r="AN30" s="166"/>
      <c r="AO30" s="166"/>
      <c r="AP30" s="166"/>
      <c r="AQ30" s="166"/>
      <c r="AR30" s="166">
        <f>SUM(AR23:AR28)</f>
        <v>438.91795571125203</v>
      </c>
    </row>
    <row r="31" spans="2:44" ht="29.25" customHeight="1">
      <c r="B31" s="153"/>
      <c r="C31" s="160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231" t="s">
        <v>134</v>
      </c>
      <c r="AI31" s="232"/>
      <c r="AJ31" s="205" t="s">
        <v>135</v>
      </c>
      <c r="AK31" s="206" t="s">
        <v>136</v>
      </c>
      <c r="AL31" s="205" t="s">
        <v>99</v>
      </c>
      <c r="AM31" s="205" t="s">
        <v>99</v>
      </c>
      <c r="AN31" s="205" t="s">
        <v>99</v>
      </c>
      <c r="AO31" s="205" t="s">
        <v>99</v>
      </c>
      <c r="AP31" s="205" t="s">
        <v>99</v>
      </c>
      <c r="AQ31" s="205" t="s">
        <v>99</v>
      </c>
      <c r="AR31" s="205" t="s">
        <v>99</v>
      </c>
    </row>
    <row r="32" spans="2:44" s="149" customFormat="1" ht="15" customHeight="1">
      <c r="B32" s="153"/>
      <c r="C32" s="160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210"/>
      <c r="AI32" s="210"/>
      <c r="AJ32" s="205"/>
      <c r="AK32" s="206"/>
      <c r="AL32" s="206"/>
      <c r="AM32" s="205"/>
      <c r="AN32" s="205"/>
      <c r="AO32" s="205"/>
      <c r="AP32" s="205"/>
      <c r="AQ32" s="205"/>
      <c r="AR32" s="205"/>
    </row>
    <row r="33" spans="2:44" s="211" customFormat="1">
      <c r="B33" s="212" t="s">
        <v>155</v>
      </c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>
        <f>DATE(YEAR(AI34)+2,MONTH(AI34),DAY(AI34))</f>
        <v>44927</v>
      </c>
      <c r="AJ33" s="214">
        <f>DATE(YEAR(AJ34)+2,MONTH(AJ34),DAY(AJ34))</f>
        <v>45292</v>
      </c>
      <c r="AK33" s="214">
        <f t="shared" ref="AK33:AR33" si="11">DATE(YEAR(AK34)+2,MONTH(AK34),DAY(AK34))</f>
        <v>45658</v>
      </c>
      <c r="AL33" s="214">
        <f t="shared" si="11"/>
        <v>46023</v>
      </c>
      <c r="AM33" s="214">
        <f t="shared" si="11"/>
        <v>46388</v>
      </c>
      <c r="AN33" s="214">
        <f t="shared" si="11"/>
        <v>46753</v>
      </c>
      <c r="AO33" s="214">
        <f t="shared" si="11"/>
        <v>47119</v>
      </c>
      <c r="AP33" s="214">
        <f t="shared" si="11"/>
        <v>47484</v>
      </c>
      <c r="AQ33" s="214">
        <f t="shared" si="11"/>
        <v>47849</v>
      </c>
      <c r="AR33" s="214">
        <f t="shared" si="11"/>
        <v>48214</v>
      </c>
    </row>
    <row r="34" spans="2:44" s="149" customFormat="1">
      <c r="B34" s="150" t="s">
        <v>66</v>
      </c>
      <c r="C34" s="157"/>
      <c r="D34" s="154">
        <v>32874</v>
      </c>
      <c r="E34" s="154">
        <v>33239</v>
      </c>
      <c r="F34" s="154">
        <v>33604</v>
      </c>
      <c r="G34" s="154">
        <v>33970</v>
      </c>
      <c r="H34" s="154">
        <v>34335</v>
      </c>
      <c r="I34" s="154">
        <v>34700</v>
      </c>
      <c r="J34" s="154">
        <v>35065</v>
      </c>
      <c r="K34" s="154">
        <v>35431</v>
      </c>
      <c r="L34" s="154">
        <v>35796</v>
      </c>
      <c r="M34" s="154">
        <v>36161</v>
      </c>
      <c r="N34" s="154">
        <v>36526</v>
      </c>
      <c r="O34" s="154">
        <v>36892</v>
      </c>
      <c r="P34" s="154">
        <v>37257</v>
      </c>
      <c r="Q34" s="154">
        <v>37622</v>
      </c>
      <c r="R34" s="154">
        <v>37987</v>
      </c>
      <c r="S34" s="154">
        <v>38353</v>
      </c>
      <c r="T34" s="154">
        <v>38718</v>
      </c>
      <c r="U34" s="154">
        <v>39083</v>
      </c>
      <c r="V34" s="154">
        <v>39448</v>
      </c>
      <c r="W34" s="154">
        <v>39814</v>
      </c>
      <c r="X34" s="154">
        <v>40179</v>
      </c>
      <c r="Y34" s="154">
        <v>40544</v>
      </c>
      <c r="Z34" s="154">
        <v>40909</v>
      </c>
      <c r="AA34" s="154">
        <v>41275</v>
      </c>
      <c r="AB34" s="154">
        <v>41640</v>
      </c>
      <c r="AC34" s="154">
        <v>42005</v>
      </c>
      <c r="AD34" s="154">
        <v>42370</v>
      </c>
      <c r="AE34" s="154">
        <v>42736</v>
      </c>
      <c r="AF34" s="154">
        <v>43101</v>
      </c>
      <c r="AG34" s="154">
        <v>43466</v>
      </c>
      <c r="AH34" s="154">
        <v>43831</v>
      </c>
      <c r="AI34" s="154">
        <v>44197</v>
      </c>
      <c r="AJ34" s="154">
        <v>44562</v>
      </c>
      <c r="AK34" s="154">
        <v>44927</v>
      </c>
      <c r="AL34" s="154">
        <v>45292</v>
      </c>
      <c r="AM34" s="154">
        <v>45658</v>
      </c>
      <c r="AN34" s="154">
        <v>46023</v>
      </c>
      <c r="AO34" s="154">
        <v>46388</v>
      </c>
      <c r="AP34" s="154">
        <v>46753</v>
      </c>
      <c r="AQ34" s="154">
        <v>47119</v>
      </c>
      <c r="AR34" s="154">
        <v>47484</v>
      </c>
    </row>
    <row r="35" spans="2:44" s="149" customFormat="1">
      <c r="B35" s="155" t="s">
        <v>171</v>
      </c>
      <c r="C35" s="184" t="s">
        <v>173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85"/>
      <c r="AI35" s="185">
        <f>SUM(AI36:AI41)</f>
        <v>760.35800851184069</v>
      </c>
      <c r="AJ35" s="185">
        <f>SUM(AJ36:AJ41)</f>
        <v>749.96500206666428</v>
      </c>
      <c r="AK35" s="185">
        <f>SUM(AK36:AK41)</f>
        <v>672.02032452759408</v>
      </c>
      <c r="AL35" s="185">
        <f>AL11</f>
        <v>649.76951839196227</v>
      </c>
      <c r="AM35" s="185">
        <f t="shared" ref="AM35:AQ35" si="12">AM11</f>
        <v>648.86663662894364</v>
      </c>
      <c r="AN35" s="185">
        <f t="shared" si="12"/>
        <v>0</v>
      </c>
      <c r="AO35" s="185">
        <f t="shared" si="12"/>
        <v>0</v>
      </c>
      <c r="AP35" s="185">
        <f t="shared" si="12"/>
        <v>0</v>
      </c>
      <c r="AQ35" s="185">
        <f t="shared" si="12"/>
        <v>0</v>
      </c>
      <c r="AR35" s="185">
        <f>AR11</f>
        <v>0</v>
      </c>
    </row>
    <row r="36" spans="2:44" s="149" customFormat="1">
      <c r="B36" s="156" t="s">
        <v>8</v>
      </c>
      <c r="C36" s="182" t="s">
        <v>138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83"/>
      <c r="AI36" s="183">
        <v>245.133149240005</v>
      </c>
      <c r="AJ36" s="183">
        <v>257.17908730201202</v>
      </c>
      <c r="AK36" s="183">
        <v>202.582417051562</v>
      </c>
      <c r="AL36" s="183">
        <f t="shared" ref="AL36:AL41" si="13">AL12</f>
        <v>189.69859171527955</v>
      </c>
      <c r="AM36" s="183">
        <f t="shared" ref="AM36:AR36" si="14">AM12</f>
        <v>189.08795293816465</v>
      </c>
      <c r="AN36" s="183">
        <f t="shared" si="14"/>
        <v>0</v>
      </c>
      <c r="AO36" s="183">
        <f t="shared" si="14"/>
        <v>0</v>
      </c>
      <c r="AP36" s="183">
        <f t="shared" si="14"/>
        <v>0</v>
      </c>
      <c r="AQ36" s="183">
        <f t="shared" si="14"/>
        <v>0</v>
      </c>
      <c r="AR36" s="183">
        <f t="shared" si="14"/>
        <v>0</v>
      </c>
    </row>
    <row r="37" spans="2:44" s="149" customFormat="1">
      <c r="B37" s="155" t="s">
        <v>9</v>
      </c>
      <c r="C37" s="184" t="s">
        <v>138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85"/>
      <c r="AI37" s="185">
        <v>183.25220063319435</v>
      </c>
      <c r="AJ37" s="185">
        <v>167.86454749595785</v>
      </c>
      <c r="AK37" s="185">
        <v>152.923738672219</v>
      </c>
      <c r="AL37" s="185">
        <f t="shared" si="13"/>
        <v>149.76712492260268</v>
      </c>
      <c r="AM37" s="185">
        <f t="shared" ref="AM37:AR41" si="15">AM13</f>
        <v>144.14168907995369</v>
      </c>
      <c r="AN37" s="185">
        <f t="shared" si="15"/>
        <v>0</v>
      </c>
      <c r="AO37" s="185">
        <f t="shared" si="15"/>
        <v>0</v>
      </c>
      <c r="AP37" s="185">
        <f t="shared" si="15"/>
        <v>0</v>
      </c>
      <c r="AQ37" s="185">
        <f t="shared" si="15"/>
        <v>0</v>
      </c>
      <c r="AR37" s="185">
        <f t="shared" si="15"/>
        <v>0</v>
      </c>
    </row>
    <row r="38" spans="2:44" s="149" customFormat="1">
      <c r="B38" s="179" t="s">
        <v>10</v>
      </c>
      <c r="C38" s="182" t="s">
        <v>138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83"/>
      <c r="AI38" s="183">
        <v>118.02605283171785</v>
      </c>
      <c r="AJ38" s="183">
        <v>110.5435730421372</v>
      </c>
      <c r="AK38" s="183">
        <v>102.933000198705</v>
      </c>
      <c r="AL38" s="183">
        <f t="shared" si="13"/>
        <v>99.998028143157129</v>
      </c>
      <c r="AM38" s="183">
        <f t="shared" si="15"/>
        <v>103.36586664073803</v>
      </c>
      <c r="AN38" s="183">
        <f t="shared" si="15"/>
        <v>0</v>
      </c>
      <c r="AO38" s="183">
        <f t="shared" si="15"/>
        <v>0</v>
      </c>
      <c r="AP38" s="183">
        <f t="shared" si="15"/>
        <v>0</v>
      </c>
      <c r="AQ38" s="183">
        <f t="shared" si="15"/>
        <v>0</v>
      </c>
      <c r="AR38" s="183">
        <f t="shared" si="15"/>
        <v>0</v>
      </c>
    </row>
    <row r="39" spans="2:44" s="149" customFormat="1">
      <c r="B39" s="155" t="s">
        <v>14</v>
      </c>
      <c r="C39" s="184" t="s">
        <v>138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85"/>
      <c r="AI39" s="185">
        <v>146.78620593339423</v>
      </c>
      <c r="AJ39" s="185">
        <v>147.28328038136249</v>
      </c>
      <c r="AK39" s="185">
        <v>145.131158628527</v>
      </c>
      <c r="AL39" s="185">
        <f t="shared" si="13"/>
        <v>144.18232724657935</v>
      </c>
      <c r="AM39" s="185">
        <f t="shared" si="15"/>
        <v>146.30515581176434</v>
      </c>
      <c r="AN39" s="185">
        <f t="shared" si="15"/>
        <v>0</v>
      </c>
      <c r="AO39" s="185">
        <f t="shared" si="15"/>
        <v>0</v>
      </c>
      <c r="AP39" s="185">
        <f t="shared" si="15"/>
        <v>0</v>
      </c>
      <c r="AQ39" s="185">
        <f t="shared" si="15"/>
        <v>0</v>
      </c>
      <c r="AR39" s="185">
        <f t="shared" si="15"/>
        <v>0</v>
      </c>
    </row>
    <row r="40" spans="2:44" s="149" customFormat="1">
      <c r="B40" s="156" t="s">
        <v>15</v>
      </c>
      <c r="C40" s="182" t="s">
        <v>138</v>
      </c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83"/>
      <c r="AI40" s="183">
        <v>62.666352329472836</v>
      </c>
      <c r="AJ40" s="183">
        <v>61.43410459505521</v>
      </c>
      <c r="AK40" s="183">
        <v>62.959986688698002</v>
      </c>
      <c r="AL40" s="183">
        <f t="shared" si="13"/>
        <v>60.846136464729106</v>
      </c>
      <c r="AM40" s="183">
        <f t="shared" si="15"/>
        <v>60.842481207611776</v>
      </c>
      <c r="AN40" s="183">
        <f t="shared" si="15"/>
        <v>0</v>
      </c>
      <c r="AO40" s="183">
        <f t="shared" si="15"/>
        <v>0</v>
      </c>
      <c r="AP40" s="183">
        <f t="shared" si="15"/>
        <v>0</v>
      </c>
      <c r="AQ40" s="183">
        <f t="shared" si="15"/>
        <v>0</v>
      </c>
      <c r="AR40" s="183">
        <f t="shared" si="15"/>
        <v>0</v>
      </c>
    </row>
    <row r="41" spans="2:44" s="149" customFormat="1">
      <c r="B41" s="155" t="s">
        <v>16</v>
      </c>
      <c r="C41" s="184" t="s">
        <v>138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85"/>
      <c r="AI41" s="185">
        <v>4.4940475440563752</v>
      </c>
      <c r="AJ41" s="185">
        <v>5.6604092501395806</v>
      </c>
      <c r="AK41" s="185">
        <v>5.490023287883</v>
      </c>
      <c r="AL41" s="185">
        <f t="shared" si="13"/>
        <v>5.2773098996146075</v>
      </c>
      <c r="AM41" s="185">
        <f t="shared" si="15"/>
        <v>5.1234909507111492</v>
      </c>
      <c r="AN41" s="185">
        <f t="shared" si="15"/>
        <v>0</v>
      </c>
      <c r="AO41" s="185">
        <f t="shared" si="15"/>
        <v>0</v>
      </c>
      <c r="AP41" s="185">
        <f t="shared" si="15"/>
        <v>0</v>
      </c>
      <c r="AQ41" s="185">
        <f t="shared" si="15"/>
        <v>0</v>
      </c>
      <c r="AR41" s="185">
        <f t="shared" si="15"/>
        <v>0</v>
      </c>
    </row>
    <row r="42" spans="2:44" s="149" customFormat="1">
      <c r="B42" s="156" t="s">
        <v>72</v>
      </c>
      <c r="C42" s="182" t="s">
        <v>138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</row>
    <row r="43" spans="2:44" s="149" customFormat="1">
      <c r="B43" s="155"/>
      <c r="C43" s="159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</row>
    <row r="44" spans="2:44" s="149" customFormat="1" ht="29.25" customHeight="1" thickBot="1">
      <c r="B44" s="153"/>
      <c r="C44" s="160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231"/>
      <c r="AI44" s="232"/>
      <c r="AJ44" s="205"/>
      <c r="AK44" s="206"/>
      <c r="AL44" s="206"/>
      <c r="AM44" s="205"/>
      <c r="AN44" s="205"/>
      <c r="AO44" s="205"/>
      <c r="AP44" s="205"/>
      <c r="AQ44" s="205"/>
      <c r="AR44" s="205"/>
    </row>
    <row r="45" spans="2:44" s="149" customFormat="1" outlineLevel="1">
      <c r="B45" s="173" t="s">
        <v>156</v>
      </c>
      <c r="C45" s="162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 t="s">
        <v>40</v>
      </c>
      <c r="AL45" s="165"/>
      <c r="AM45" s="165"/>
      <c r="AN45" s="165"/>
      <c r="AO45" s="165"/>
      <c r="AP45" s="165"/>
      <c r="AQ45" s="215" t="s">
        <v>157</v>
      </c>
      <c r="AR45" s="165"/>
    </row>
    <row r="46" spans="2:44" s="149" customFormat="1" outlineLevel="1">
      <c r="B46" s="150" t="s">
        <v>66</v>
      </c>
      <c r="C46" s="157"/>
      <c r="D46" s="154">
        <v>32874</v>
      </c>
      <c r="E46" s="154">
        <v>33239</v>
      </c>
      <c r="F46" s="154">
        <v>33604</v>
      </c>
      <c r="G46" s="154">
        <v>33970</v>
      </c>
      <c r="H46" s="154">
        <v>34335</v>
      </c>
      <c r="I46" s="154">
        <v>34700</v>
      </c>
      <c r="J46" s="154">
        <v>35065</v>
      </c>
      <c r="K46" s="154">
        <v>35431</v>
      </c>
      <c r="L46" s="154">
        <v>35796</v>
      </c>
      <c r="M46" s="154">
        <v>36161</v>
      </c>
      <c r="N46" s="154">
        <v>36526</v>
      </c>
      <c r="O46" s="154">
        <v>36892</v>
      </c>
      <c r="P46" s="154">
        <v>37257</v>
      </c>
      <c r="Q46" s="154">
        <v>37622</v>
      </c>
      <c r="R46" s="154">
        <v>37987</v>
      </c>
      <c r="S46" s="154">
        <v>38353</v>
      </c>
      <c r="T46" s="154">
        <v>38718</v>
      </c>
      <c r="U46" s="154">
        <v>39083</v>
      </c>
      <c r="V46" s="154">
        <v>39448</v>
      </c>
      <c r="W46" s="154">
        <v>39814</v>
      </c>
      <c r="X46" s="154">
        <v>40179</v>
      </c>
      <c r="Y46" s="154">
        <v>40544</v>
      </c>
      <c r="Z46" s="154">
        <v>40909</v>
      </c>
      <c r="AA46" s="154">
        <v>41275</v>
      </c>
      <c r="AB46" s="154">
        <v>41640</v>
      </c>
      <c r="AC46" s="154">
        <v>42005</v>
      </c>
      <c r="AD46" s="154">
        <v>42370</v>
      </c>
      <c r="AE46" s="154">
        <v>42736</v>
      </c>
      <c r="AF46" s="154">
        <v>43101</v>
      </c>
      <c r="AG46" s="154">
        <v>43466</v>
      </c>
      <c r="AH46" s="154">
        <v>43831</v>
      </c>
      <c r="AI46" s="154">
        <v>44197</v>
      </c>
      <c r="AJ46" s="154">
        <v>44562</v>
      </c>
      <c r="AK46" s="154">
        <v>44927</v>
      </c>
      <c r="AL46" s="154">
        <v>45292</v>
      </c>
      <c r="AM46" s="154">
        <v>45658</v>
      </c>
      <c r="AN46" s="154">
        <v>46023</v>
      </c>
      <c r="AO46" s="154">
        <v>46388</v>
      </c>
      <c r="AP46" s="154">
        <v>46753</v>
      </c>
      <c r="AQ46" s="174">
        <v>47119</v>
      </c>
      <c r="AR46" s="154">
        <v>47484</v>
      </c>
    </row>
    <row r="47" spans="2:44" s="149" customFormat="1" outlineLevel="1">
      <c r="B47" s="155" t="s">
        <v>171</v>
      </c>
      <c r="C47" s="184" t="s">
        <v>139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85"/>
      <c r="AI47" s="166"/>
      <c r="AJ47" s="166"/>
      <c r="AK47" s="166"/>
      <c r="AL47" s="166"/>
      <c r="AM47" s="185"/>
      <c r="AN47" s="166"/>
      <c r="AO47" s="166"/>
      <c r="AP47" s="166"/>
      <c r="AQ47" s="198">
        <f>IF(AQ$37&gt;0,(AQ$37-AQ59)*1000,0)</f>
        <v>0</v>
      </c>
      <c r="AR47" s="171">
        <f>-$AQ47</f>
        <v>0</v>
      </c>
    </row>
    <row r="48" spans="2:44" s="149" customFormat="1" outlineLevel="1">
      <c r="B48" s="156" t="s">
        <v>8</v>
      </c>
      <c r="C48" s="182" t="s">
        <v>139</v>
      </c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83"/>
      <c r="AI48" s="167"/>
      <c r="AJ48" s="167"/>
      <c r="AK48" s="167"/>
      <c r="AL48" s="167"/>
      <c r="AM48" s="183"/>
      <c r="AN48" s="167"/>
      <c r="AO48" s="167"/>
      <c r="AP48" s="167"/>
      <c r="AQ48" s="198" t="e">
        <f t="shared" ref="AQ48" si="16">(AQ36-AQ60)*1000</f>
        <v>#N/A</v>
      </c>
      <c r="AR48" s="203" t="e">
        <f>-$AQ48</f>
        <v>#N/A</v>
      </c>
    </row>
    <row r="49" spans="2:44" s="149" customFormat="1" outlineLevel="1">
      <c r="B49" s="155" t="s">
        <v>9</v>
      </c>
      <c r="C49" s="184" t="s">
        <v>139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85"/>
      <c r="AI49" s="166"/>
      <c r="AJ49" s="166"/>
      <c r="AK49" s="166"/>
      <c r="AL49" s="166"/>
      <c r="AM49" s="185"/>
      <c r="AN49" s="166"/>
      <c r="AO49" s="166"/>
      <c r="AP49" s="166"/>
      <c r="AQ49" s="198">
        <f>IF(AQ$37&gt;0,(AQ$37-AQ61)*1000,0)</f>
        <v>0</v>
      </c>
      <c r="AR49" s="171">
        <f>-$AQ49</f>
        <v>0</v>
      </c>
    </row>
    <row r="50" spans="2:44" s="149" customFormat="1" outlineLevel="1">
      <c r="B50" s="179" t="s">
        <v>10</v>
      </c>
      <c r="C50" s="182" t="s">
        <v>139</v>
      </c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83"/>
      <c r="AI50" s="167"/>
      <c r="AJ50" s="167"/>
      <c r="AK50" s="167"/>
      <c r="AL50" s="167"/>
      <c r="AM50" s="183"/>
      <c r="AN50" s="167"/>
      <c r="AO50" s="167"/>
      <c r="AP50" s="167"/>
      <c r="AQ50" s="198">
        <f>IF(AQ$38&gt;0,(AQ$38-AQ62)*1000,0)</f>
        <v>0</v>
      </c>
      <c r="AR50" s="170">
        <f t="shared" ref="AR50:AR53" si="17">-$AQ50</f>
        <v>0</v>
      </c>
    </row>
    <row r="51" spans="2:44" s="149" customFormat="1" outlineLevel="1">
      <c r="B51" s="155" t="s">
        <v>14</v>
      </c>
      <c r="C51" s="184" t="s">
        <v>139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85"/>
      <c r="AI51" s="172"/>
      <c r="AJ51" s="172"/>
      <c r="AK51" s="172"/>
      <c r="AL51" s="172"/>
      <c r="AM51" s="185"/>
      <c r="AN51" s="172"/>
      <c r="AO51" s="172"/>
      <c r="AP51" s="172"/>
      <c r="AQ51" s="198">
        <f>IF(AQ$39&gt;0,(AQ$39-AQ63)*1000,0)</f>
        <v>0</v>
      </c>
      <c r="AR51" s="171">
        <f t="shared" si="17"/>
        <v>0</v>
      </c>
    </row>
    <row r="52" spans="2:44" s="149" customFormat="1" outlineLevel="1">
      <c r="B52" s="156" t="s">
        <v>15</v>
      </c>
      <c r="C52" s="182" t="s">
        <v>139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83"/>
      <c r="AI52" s="167"/>
      <c r="AJ52" s="167"/>
      <c r="AK52" s="167"/>
      <c r="AL52" s="167"/>
      <c r="AM52" s="183"/>
      <c r="AN52" s="167"/>
      <c r="AO52" s="167"/>
      <c r="AP52" s="167"/>
      <c r="AQ52" s="198">
        <f>IF(AQ$40&gt;0,(AQ$40-AQ64)*1000,0)</f>
        <v>0</v>
      </c>
      <c r="AR52" s="170">
        <f t="shared" si="17"/>
        <v>0</v>
      </c>
    </row>
    <row r="53" spans="2:44" s="149" customFormat="1" outlineLevel="1">
      <c r="B53" s="155" t="s">
        <v>16</v>
      </c>
      <c r="C53" s="184" t="s">
        <v>139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85"/>
      <c r="AI53" s="166"/>
      <c r="AJ53" s="166"/>
      <c r="AK53" s="166"/>
      <c r="AL53" s="166"/>
      <c r="AM53" s="185"/>
      <c r="AN53" s="166"/>
      <c r="AO53" s="166"/>
      <c r="AP53" s="166"/>
      <c r="AQ53" s="198">
        <f>IF(AQ$41&gt;0,(AQ$41-AQ65)*1000,0)</f>
        <v>0</v>
      </c>
      <c r="AR53" s="171">
        <f t="shared" si="17"/>
        <v>0</v>
      </c>
    </row>
    <row r="54" spans="2:44" s="149" customFormat="1" outlineLevel="1">
      <c r="B54" s="156" t="s">
        <v>72</v>
      </c>
      <c r="C54" s="182" t="s">
        <v>139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80"/>
      <c r="AR54" s="167"/>
    </row>
    <row r="55" spans="2:44" s="149" customFormat="1" ht="15.75" outlineLevel="1" thickBot="1">
      <c r="B55" s="155" t="s">
        <v>8</v>
      </c>
      <c r="C55" s="159" t="s">
        <v>190</v>
      </c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99">
        <f>IF(AQ$36&gt;0,(AQ$36-AQ67)*1000,0)</f>
        <v>0</v>
      </c>
      <c r="AR55" s="171">
        <f>-$AQ55</f>
        <v>0</v>
      </c>
    </row>
    <row r="56" spans="2:44" s="149" customFormat="1" outlineLevel="1">
      <c r="B56" s="151"/>
      <c r="C56" s="16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204"/>
      <c r="AK56" s="165"/>
      <c r="AL56" s="204"/>
      <c r="AM56" s="204" t="s">
        <v>99</v>
      </c>
      <c r="AN56" s="204" t="s">
        <v>99</v>
      </c>
      <c r="AO56" s="204" t="s">
        <v>99</v>
      </c>
      <c r="AP56" s="204" t="s">
        <v>99</v>
      </c>
      <c r="AQ56" s="204" t="s">
        <v>99</v>
      </c>
      <c r="AR56" s="204" t="s">
        <v>99</v>
      </c>
    </row>
    <row r="57" spans="2:44" s="149" customFormat="1" outlineLevel="1">
      <c r="B57" s="173" t="s">
        <v>158</v>
      </c>
      <c r="C57" s="16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91"/>
      <c r="AJ57" s="195"/>
      <c r="AK57" s="165"/>
      <c r="AL57" s="165"/>
      <c r="AM57" s="165"/>
      <c r="AN57" s="165"/>
      <c r="AO57" s="165"/>
      <c r="AP57" s="165"/>
      <c r="AQ57" s="165"/>
      <c r="AR57" s="165"/>
    </row>
    <row r="58" spans="2:44" s="149" customFormat="1" outlineLevel="1">
      <c r="B58" s="150" t="s">
        <v>66</v>
      </c>
      <c r="C58" s="157"/>
      <c r="D58" s="154">
        <v>32874</v>
      </c>
      <c r="E58" s="154">
        <v>33239</v>
      </c>
      <c r="F58" s="154">
        <v>33604</v>
      </c>
      <c r="G58" s="154">
        <v>33970</v>
      </c>
      <c r="H58" s="154">
        <v>34335</v>
      </c>
      <c r="I58" s="154">
        <v>34700</v>
      </c>
      <c r="J58" s="154">
        <v>35065</v>
      </c>
      <c r="K58" s="154">
        <v>35431</v>
      </c>
      <c r="L58" s="154">
        <v>35796</v>
      </c>
      <c r="M58" s="154">
        <v>36161</v>
      </c>
      <c r="N58" s="154">
        <v>36526</v>
      </c>
      <c r="O58" s="154">
        <v>36892</v>
      </c>
      <c r="P58" s="154">
        <v>37257</v>
      </c>
      <c r="Q58" s="154">
        <v>37622</v>
      </c>
      <c r="R58" s="154">
        <v>37987</v>
      </c>
      <c r="S58" s="154">
        <v>38353</v>
      </c>
      <c r="T58" s="154">
        <v>38718</v>
      </c>
      <c r="U58" s="154">
        <v>39083</v>
      </c>
      <c r="V58" s="154">
        <v>39448</v>
      </c>
      <c r="W58" s="154">
        <v>39814</v>
      </c>
      <c r="X58" s="154">
        <v>40179</v>
      </c>
      <c r="Y58" s="154">
        <v>40544</v>
      </c>
      <c r="Z58" s="154">
        <v>40909</v>
      </c>
      <c r="AA58" s="154">
        <v>41275</v>
      </c>
      <c r="AB58" s="154">
        <v>41640</v>
      </c>
      <c r="AC58" s="154">
        <v>42005</v>
      </c>
      <c r="AD58" s="154">
        <v>42370</v>
      </c>
      <c r="AE58" s="154">
        <v>42736</v>
      </c>
      <c r="AF58" s="154">
        <v>43101</v>
      </c>
      <c r="AG58" s="154">
        <v>43466</v>
      </c>
      <c r="AH58" s="207">
        <v>43831</v>
      </c>
      <c r="AI58" s="154">
        <v>44197</v>
      </c>
      <c r="AJ58" s="207">
        <v>44562</v>
      </c>
      <c r="AK58" s="154">
        <v>44927</v>
      </c>
      <c r="AL58" s="154">
        <v>45292</v>
      </c>
      <c r="AM58" s="154">
        <v>45658</v>
      </c>
      <c r="AN58" s="154">
        <v>46023</v>
      </c>
      <c r="AO58" s="154">
        <v>46388</v>
      </c>
      <c r="AP58" s="154">
        <v>46753</v>
      </c>
      <c r="AQ58" s="154">
        <v>47119</v>
      </c>
      <c r="AR58" s="154">
        <v>47484</v>
      </c>
    </row>
    <row r="59" spans="2:44" s="149" customFormat="1" outlineLevel="1">
      <c r="B59" s="155" t="s">
        <v>171</v>
      </c>
      <c r="C59" s="184" t="s">
        <v>185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93"/>
      <c r="AI59" s="166"/>
      <c r="AJ59" s="177"/>
      <c r="AK59" s="166"/>
      <c r="AL59" s="166"/>
      <c r="AM59" s="166"/>
      <c r="AN59" s="166"/>
      <c r="AO59" s="193"/>
      <c r="AP59" s="166"/>
      <c r="AQ59" s="166">
        <f t="shared" ref="AQ59:AR65" si="18">AQ83+AQ71/1000</f>
        <v>503.20410197459898</v>
      </c>
      <c r="AR59" s="166">
        <f t="shared" si="18"/>
        <v>459.20410197459898</v>
      </c>
    </row>
    <row r="60" spans="2:44" s="149" customFormat="1" outlineLevel="1">
      <c r="B60" s="156" t="s">
        <v>8</v>
      </c>
      <c r="C60" s="182" t="s">
        <v>180</v>
      </c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92"/>
      <c r="AI60" s="167"/>
      <c r="AJ60" s="175"/>
      <c r="AK60" s="167"/>
      <c r="AL60" s="167"/>
      <c r="AM60" s="167"/>
      <c r="AN60" s="167"/>
      <c r="AO60" s="192"/>
      <c r="AP60" s="167"/>
      <c r="AQ60" s="170" t="e">
        <f t="shared" si="18"/>
        <v>#N/A</v>
      </c>
      <c r="AR60" s="170" t="e">
        <f t="shared" si="18"/>
        <v>#N/A</v>
      </c>
    </row>
    <row r="61" spans="2:44" s="149" customFormat="1" outlineLevel="1">
      <c r="B61" s="155" t="s">
        <v>9</v>
      </c>
      <c r="C61" s="184" t="s">
        <v>180</v>
      </c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93"/>
      <c r="AI61" s="166"/>
      <c r="AJ61" s="177"/>
      <c r="AK61" s="166"/>
      <c r="AL61" s="166"/>
      <c r="AM61" s="166"/>
      <c r="AN61" s="166"/>
      <c r="AO61" s="193"/>
      <c r="AP61" s="166"/>
      <c r="AQ61" s="166">
        <f t="shared" si="18"/>
        <v>136.01013983921447</v>
      </c>
      <c r="AR61" s="166">
        <f t="shared" si="18"/>
        <v>129.01013983921447</v>
      </c>
    </row>
    <row r="62" spans="2:44" s="149" customFormat="1" outlineLevel="1">
      <c r="B62" s="179" t="s">
        <v>10</v>
      </c>
      <c r="C62" s="182" t="s">
        <v>180</v>
      </c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92"/>
      <c r="AI62" s="167"/>
      <c r="AJ62" s="175"/>
      <c r="AK62" s="167"/>
      <c r="AL62" s="167"/>
      <c r="AM62" s="167"/>
      <c r="AN62" s="167"/>
      <c r="AO62" s="192"/>
      <c r="AP62" s="167"/>
      <c r="AQ62" s="167">
        <f t="shared" si="18"/>
        <v>67.426695828708958</v>
      </c>
      <c r="AR62" s="167">
        <f t="shared" si="18"/>
        <v>62.426695828708958</v>
      </c>
    </row>
    <row r="63" spans="2:44" s="149" customFormat="1" outlineLevel="1">
      <c r="B63" s="155" t="s">
        <v>14</v>
      </c>
      <c r="C63" s="184" t="s">
        <v>180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93"/>
      <c r="AI63" s="172"/>
      <c r="AJ63" s="177"/>
      <c r="AK63" s="172"/>
      <c r="AL63" s="172"/>
      <c r="AM63" s="172"/>
      <c r="AN63" s="172"/>
      <c r="AO63" s="193"/>
      <c r="AP63" s="172"/>
      <c r="AQ63" s="166">
        <f t="shared" si="18"/>
        <v>83.862374399674508</v>
      </c>
      <c r="AR63" s="166">
        <f t="shared" si="18"/>
        <v>72.862374399674508</v>
      </c>
    </row>
    <row r="64" spans="2:44" s="149" customFormat="1" outlineLevel="1">
      <c r="B64" s="156" t="s">
        <v>15</v>
      </c>
      <c r="C64" s="182" t="s">
        <v>180</v>
      </c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92"/>
      <c r="AI64" s="167"/>
      <c r="AJ64" s="175"/>
      <c r="AK64" s="167"/>
      <c r="AL64" s="167"/>
      <c r="AM64" s="167"/>
      <c r="AN64" s="167"/>
      <c r="AO64" s="192"/>
      <c r="AP64" s="167"/>
      <c r="AQ64" s="167">
        <f t="shared" si="18"/>
        <v>61.050187742886607</v>
      </c>
      <c r="AR64" s="167">
        <f t="shared" si="18"/>
        <v>60.050187742886607</v>
      </c>
    </row>
    <row r="65" spans="2:44" s="149" customFormat="1" outlineLevel="1">
      <c r="B65" s="155" t="s">
        <v>16</v>
      </c>
      <c r="C65" s="184" t="s">
        <v>180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93"/>
      <c r="AI65" s="166"/>
      <c r="AJ65" s="177"/>
      <c r="AK65" s="166"/>
      <c r="AL65" s="166"/>
      <c r="AM65" s="166"/>
      <c r="AN65" s="166"/>
      <c r="AO65" s="193"/>
      <c r="AP65" s="166"/>
      <c r="AQ65" s="166">
        <f t="shared" si="18"/>
        <v>7.5909438135190577</v>
      </c>
      <c r="AR65" s="166">
        <f t="shared" si="18"/>
        <v>6.5909438135190577</v>
      </c>
    </row>
    <row r="66" spans="2:44" s="149" customFormat="1" outlineLevel="1">
      <c r="B66" s="156" t="s">
        <v>72</v>
      </c>
      <c r="C66" s="182" t="s">
        <v>180</v>
      </c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81"/>
      <c r="AI66" s="167"/>
      <c r="AJ66" s="181"/>
      <c r="AK66" s="167"/>
      <c r="AL66" s="167"/>
      <c r="AM66" s="167"/>
      <c r="AN66" s="167"/>
      <c r="AO66" s="181"/>
      <c r="AP66" s="167"/>
      <c r="AQ66" s="167"/>
      <c r="AR66" s="167"/>
    </row>
    <row r="67" spans="2:44" s="149" customFormat="1" outlineLevel="1">
      <c r="B67" s="155" t="s">
        <v>8</v>
      </c>
      <c r="C67" s="159" t="s">
        <v>190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94"/>
      <c r="AI67" s="166"/>
      <c r="AJ67" s="194"/>
      <c r="AK67" s="166"/>
      <c r="AL67" s="166"/>
      <c r="AM67" s="166"/>
      <c r="AN67" s="166"/>
      <c r="AO67" s="166"/>
      <c r="AP67" s="166"/>
      <c r="AQ67" s="166">
        <f>AQ91+AQ79/1000</f>
        <v>146.83876035059535</v>
      </c>
      <c r="AR67" s="166">
        <f>AR91+AR79/1000</f>
        <v>128.21376035059535</v>
      </c>
    </row>
    <row r="68" spans="2:44" s="149" customFormat="1" ht="29.25" customHeight="1" outlineLevel="1" thickBot="1">
      <c r="B68" s="153"/>
      <c r="C68" s="160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208"/>
      <c r="AI68" s="209"/>
      <c r="AJ68" s="205"/>
      <c r="AK68" s="206"/>
      <c r="AL68" s="206"/>
      <c r="AM68" s="205" t="s">
        <v>99</v>
      </c>
      <c r="AN68" s="205" t="s">
        <v>99</v>
      </c>
      <c r="AO68" s="205" t="s">
        <v>99</v>
      </c>
      <c r="AP68" s="205" t="s">
        <v>99</v>
      </c>
      <c r="AQ68" s="205" t="s">
        <v>99</v>
      </c>
      <c r="AR68" s="205" t="s">
        <v>99</v>
      </c>
    </row>
    <row r="69" spans="2:44" s="149" customFormat="1" outlineLevel="1">
      <c r="B69" s="173" t="s">
        <v>159</v>
      </c>
      <c r="C69" s="162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 t="s">
        <v>40</v>
      </c>
      <c r="AL69" s="165"/>
      <c r="AM69" s="165"/>
      <c r="AN69" s="165"/>
      <c r="AO69" s="165"/>
      <c r="AP69" s="215" t="s">
        <v>157</v>
      </c>
      <c r="AQ69" s="165"/>
      <c r="AR69" s="165"/>
    </row>
    <row r="70" spans="2:44" s="149" customFormat="1" outlineLevel="1">
      <c r="B70" s="150" t="s">
        <v>66</v>
      </c>
      <c r="C70" s="157"/>
      <c r="D70" s="154">
        <v>32874</v>
      </c>
      <c r="E70" s="154">
        <v>33239</v>
      </c>
      <c r="F70" s="154">
        <v>33604</v>
      </c>
      <c r="G70" s="154">
        <v>33970</v>
      </c>
      <c r="H70" s="154">
        <v>34335</v>
      </c>
      <c r="I70" s="154">
        <v>34700</v>
      </c>
      <c r="J70" s="154">
        <v>35065</v>
      </c>
      <c r="K70" s="154">
        <v>35431</v>
      </c>
      <c r="L70" s="154">
        <v>35796</v>
      </c>
      <c r="M70" s="154">
        <v>36161</v>
      </c>
      <c r="N70" s="154">
        <v>36526</v>
      </c>
      <c r="O70" s="154">
        <v>36892</v>
      </c>
      <c r="P70" s="154">
        <v>37257</v>
      </c>
      <c r="Q70" s="154">
        <v>37622</v>
      </c>
      <c r="R70" s="154">
        <v>37987</v>
      </c>
      <c r="S70" s="154">
        <v>38353</v>
      </c>
      <c r="T70" s="154">
        <v>38718</v>
      </c>
      <c r="U70" s="154">
        <v>39083</v>
      </c>
      <c r="V70" s="154">
        <v>39448</v>
      </c>
      <c r="W70" s="154">
        <v>39814</v>
      </c>
      <c r="X70" s="154">
        <v>40179</v>
      </c>
      <c r="Y70" s="154">
        <v>40544</v>
      </c>
      <c r="Z70" s="154">
        <v>40909</v>
      </c>
      <c r="AA70" s="154">
        <v>41275</v>
      </c>
      <c r="AB70" s="154">
        <v>41640</v>
      </c>
      <c r="AC70" s="154">
        <v>42005</v>
      </c>
      <c r="AD70" s="154">
        <v>42370</v>
      </c>
      <c r="AE70" s="154">
        <v>42736</v>
      </c>
      <c r="AF70" s="154">
        <v>43101</v>
      </c>
      <c r="AG70" s="154">
        <v>43466</v>
      </c>
      <c r="AH70" s="154">
        <v>43831</v>
      </c>
      <c r="AI70" s="154">
        <v>44197</v>
      </c>
      <c r="AJ70" s="154">
        <v>44562</v>
      </c>
      <c r="AK70" s="154">
        <v>44927</v>
      </c>
      <c r="AL70" s="154">
        <v>45292</v>
      </c>
      <c r="AM70" s="154">
        <v>45658</v>
      </c>
      <c r="AN70" s="154">
        <v>46023</v>
      </c>
      <c r="AO70" s="154">
        <v>46388</v>
      </c>
      <c r="AP70" s="174">
        <v>46753</v>
      </c>
      <c r="AQ70" s="154">
        <v>47119</v>
      </c>
      <c r="AR70" s="154">
        <v>47484</v>
      </c>
    </row>
    <row r="71" spans="2:44" s="149" customFormat="1" outlineLevel="1">
      <c r="B71" s="155" t="s">
        <v>171</v>
      </c>
      <c r="C71" s="184" t="s">
        <v>139</v>
      </c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85"/>
      <c r="AI71" s="166"/>
      <c r="AJ71" s="166"/>
      <c r="AK71" s="166"/>
      <c r="AL71" s="185"/>
      <c r="AM71" s="166"/>
      <c r="AN71" s="166"/>
      <c r="AO71" s="166"/>
      <c r="AP71" s="198">
        <f>IF(AP$35&gt;0,(AP$35-AP83)*1000,0)</f>
        <v>0</v>
      </c>
      <c r="AQ71" s="171">
        <f>-$AP71/2</f>
        <v>0</v>
      </c>
      <c r="AR71" s="171">
        <f>-$AP71/2</f>
        <v>0</v>
      </c>
    </row>
    <row r="72" spans="2:44" s="149" customFormat="1" outlineLevel="1">
      <c r="B72" s="156" t="s">
        <v>8</v>
      </c>
      <c r="C72" s="182" t="s">
        <v>139</v>
      </c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83"/>
      <c r="AI72" s="167"/>
      <c r="AJ72" s="167"/>
      <c r="AK72" s="167"/>
      <c r="AL72" s="183"/>
      <c r="AM72" s="167"/>
      <c r="AN72" s="167"/>
      <c r="AO72" s="167"/>
      <c r="AP72" s="198" t="e">
        <f t="shared" ref="AP72" si="19">(AP36-AP84)*1000</f>
        <v>#N/A</v>
      </c>
      <c r="AQ72" s="203" t="e">
        <v>#N/A</v>
      </c>
      <c r="AR72" s="203" t="e">
        <v>#N/A</v>
      </c>
    </row>
    <row r="73" spans="2:44" s="149" customFormat="1" outlineLevel="1">
      <c r="B73" s="155" t="s">
        <v>9</v>
      </c>
      <c r="C73" s="184" t="s">
        <v>139</v>
      </c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85"/>
      <c r="AI73" s="166"/>
      <c r="AJ73" s="166"/>
      <c r="AK73" s="166"/>
      <c r="AL73" s="185"/>
      <c r="AM73" s="166"/>
      <c r="AN73" s="166"/>
      <c r="AO73" s="166"/>
      <c r="AP73" s="198">
        <f>IF(AP$37&gt;0,(AP$37-AP85)*1000,0)</f>
        <v>0</v>
      </c>
      <c r="AQ73" s="171">
        <f>-$AP73/2</f>
        <v>0</v>
      </c>
      <c r="AR73" s="171">
        <f>-$AP73/2</f>
        <v>0</v>
      </c>
    </row>
    <row r="74" spans="2:44" s="149" customFormat="1" outlineLevel="1">
      <c r="B74" s="179" t="s">
        <v>10</v>
      </c>
      <c r="C74" s="182" t="s">
        <v>139</v>
      </c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83"/>
      <c r="AI74" s="167"/>
      <c r="AJ74" s="167"/>
      <c r="AK74" s="167"/>
      <c r="AL74" s="183"/>
      <c r="AM74" s="167"/>
      <c r="AN74" s="167"/>
      <c r="AO74" s="167"/>
      <c r="AP74" s="198">
        <f>IF(AP$38&gt;0,(AP$38-AP86)*1000,0)</f>
        <v>0</v>
      </c>
      <c r="AQ74" s="170">
        <f t="shared" ref="AQ74:AR77" si="20">-$AP74/2</f>
        <v>0</v>
      </c>
      <c r="AR74" s="170">
        <f t="shared" si="20"/>
        <v>0</v>
      </c>
    </row>
    <row r="75" spans="2:44" s="149" customFormat="1" outlineLevel="1">
      <c r="B75" s="155" t="s">
        <v>14</v>
      </c>
      <c r="C75" s="184" t="s">
        <v>139</v>
      </c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85"/>
      <c r="AI75" s="172"/>
      <c r="AJ75" s="172"/>
      <c r="AK75" s="172"/>
      <c r="AL75" s="185"/>
      <c r="AM75" s="172"/>
      <c r="AN75" s="172"/>
      <c r="AO75" s="172"/>
      <c r="AP75" s="198">
        <f>IF(AP$39&gt;0,(AP$39-AP87)*1000,0)</f>
        <v>0</v>
      </c>
      <c r="AQ75" s="171">
        <f t="shared" si="20"/>
        <v>0</v>
      </c>
      <c r="AR75" s="171">
        <f t="shared" si="20"/>
        <v>0</v>
      </c>
    </row>
    <row r="76" spans="2:44" s="149" customFormat="1" outlineLevel="1">
      <c r="B76" s="156" t="s">
        <v>15</v>
      </c>
      <c r="C76" s="182" t="s">
        <v>139</v>
      </c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83"/>
      <c r="AI76" s="167"/>
      <c r="AJ76" s="167"/>
      <c r="AK76" s="167"/>
      <c r="AL76" s="183"/>
      <c r="AM76" s="167"/>
      <c r="AN76" s="167"/>
      <c r="AO76" s="167"/>
      <c r="AP76" s="198">
        <f>IF(AP$40&gt;0,(AP$40-AP88)*1000,0)</f>
        <v>0</v>
      </c>
      <c r="AQ76" s="170">
        <f t="shared" si="20"/>
        <v>0</v>
      </c>
      <c r="AR76" s="170">
        <f t="shared" si="20"/>
        <v>0</v>
      </c>
    </row>
    <row r="77" spans="2:44" s="149" customFormat="1" outlineLevel="1">
      <c r="B77" s="155" t="s">
        <v>16</v>
      </c>
      <c r="C77" s="184" t="s">
        <v>139</v>
      </c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85"/>
      <c r="AI77" s="166"/>
      <c r="AJ77" s="166"/>
      <c r="AK77" s="166"/>
      <c r="AL77" s="185"/>
      <c r="AM77" s="166"/>
      <c r="AN77" s="166"/>
      <c r="AO77" s="166"/>
      <c r="AP77" s="198">
        <f>IF(AP$41&gt;0,(AP$41-AP89)*1000,0)</f>
        <v>0</v>
      </c>
      <c r="AQ77" s="171">
        <f t="shared" si="20"/>
        <v>0</v>
      </c>
      <c r="AR77" s="171">
        <f t="shared" si="20"/>
        <v>0</v>
      </c>
    </row>
    <row r="78" spans="2:44" s="149" customFormat="1" outlineLevel="1">
      <c r="B78" s="156" t="s">
        <v>72</v>
      </c>
      <c r="C78" s="182" t="s">
        <v>139</v>
      </c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80"/>
      <c r="AQ78" s="167"/>
      <c r="AR78" s="167"/>
    </row>
    <row r="79" spans="2:44" s="149" customFormat="1" ht="15.75" outlineLevel="1" thickBot="1">
      <c r="B79" s="155" t="s">
        <v>8</v>
      </c>
      <c r="C79" s="159" t="s">
        <v>190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99">
        <f>IF(AP$36&gt;0,(AP$36-AP91)*1000,0)</f>
        <v>0</v>
      </c>
      <c r="AQ79" s="171">
        <f>-$AP79/2</f>
        <v>0</v>
      </c>
      <c r="AR79" s="171">
        <f>-$AP79/2</f>
        <v>0</v>
      </c>
    </row>
    <row r="80" spans="2:44" s="149" customFormat="1" outlineLevel="1">
      <c r="B80" s="151"/>
      <c r="C80" s="162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204"/>
      <c r="AK80" s="165"/>
      <c r="AL80" s="204"/>
      <c r="AM80" s="204" t="s">
        <v>99</v>
      </c>
      <c r="AN80" s="204" t="s">
        <v>99</v>
      </c>
      <c r="AO80" s="204" t="s">
        <v>99</v>
      </c>
      <c r="AP80" s="204" t="s">
        <v>99</v>
      </c>
      <c r="AQ80" s="204" t="s">
        <v>99</v>
      </c>
      <c r="AR80" s="204" t="s">
        <v>99</v>
      </c>
    </row>
    <row r="81" spans="2:44" s="149" customFormat="1" outlineLevel="1">
      <c r="B81" s="173" t="s">
        <v>160</v>
      </c>
      <c r="C81" s="162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91"/>
      <c r="AJ81" s="195"/>
      <c r="AK81" s="165"/>
      <c r="AL81" s="165"/>
      <c r="AM81" s="165"/>
      <c r="AN81" s="165"/>
      <c r="AO81" s="165"/>
      <c r="AP81" s="165"/>
      <c r="AQ81" s="165"/>
      <c r="AR81" s="165"/>
    </row>
    <row r="82" spans="2:44" s="149" customFormat="1" outlineLevel="1">
      <c r="B82" s="150" t="s">
        <v>66</v>
      </c>
      <c r="C82" s="157"/>
      <c r="D82" s="154">
        <v>32874</v>
      </c>
      <c r="E82" s="154">
        <v>33239</v>
      </c>
      <c r="F82" s="154">
        <v>33604</v>
      </c>
      <c r="G82" s="154">
        <v>33970</v>
      </c>
      <c r="H82" s="154">
        <v>34335</v>
      </c>
      <c r="I82" s="154">
        <v>34700</v>
      </c>
      <c r="J82" s="154">
        <v>35065</v>
      </c>
      <c r="K82" s="154">
        <v>35431</v>
      </c>
      <c r="L82" s="154">
        <v>35796</v>
      </c>
      <c r="M82" s="154">
        <v>36161</v>
      </c>
      <c r="N82" s="154">
        <v>36526</v>
      </c>
      <c r="O82" s="154">
        <v>36892</v>
      </c>
      <c r="P82" s="154">
        <v>37257</v>
      </c>
      <c r="Q82" s="154">
        <v>37622</v>
      </c>
      <c r="R82" s="154">
        <v>37987</v>
      </c>
      <c r="S82" s="154">
        <v>38353</v>
      </c>
      <c r="T82" s="154">
        <v>38718</v>
      </c>
      <c r="U82" s="154">
        <v>39083</v>
      </c>
      <c r="V82" s="154">
        <v>39448</v>
      </c>
      <c r="W82" s="154">
        <v>39814</v>
      </c>
      <c r="X82" s="154">
        <v>40179</v>
      </c>
      <c r="Y82" s="154">
        <v>40544</v>
      </c>
      <c r="Z82" s="154">
        <v>40909</v>
      </c>
      <c r="AA82" s="154">
        <v>41275</v>
      </c>
      <c r="AB82" s="154">
        <v>41640</v>
      </c>
      <c r="AC82" s="154">
        <v>42005</v>
      </c>
      <c r="AD82" s="154">
        <v>42370</v>
      </c>
      <c r="AE82" s="154">
        <v>42736</v>
      </c>
      <c r="AF82" s="154">
        <v>43101</v>
      </c>
      <c r="AG82" s="154">
        <v>43466</v>
      </c>
      <c r="AH82" s="207">
        <v>43831</v>
      </c>
      <c r="AI82" s="154">
        <v>44197</v>
      </c>
      <c r="AJ82" s="207">
        <v>44562</v>
      </c>
      <c r="AK82" s="154">
        <v>44927</v>
      </c>
      <c r="AL82" s="154">
        <v>45292</v>
      </c>
      <c r="AM82" s="154">
        <v>45658</v>
      </c>
      <c r="AN82" s="154">
        <v>46023</v>
      </c>
      <c r="AO82" s="154">
        <v>46388</v>
      </c>
      <c r="AP82" s="154">
        <v>46753</v>
      </c>
      <c r="AQ82" s="154">
        <v>47119</v>
      </c>
      <c r="AR82" s="154">
        <v>47484</v>
      </c>
    </row>
    <row r="83" spans="2:44" s="149" customFormat="1" outlineLevel="1">
      <c r="B83" s="155" t="s">
        <v>171</v>
      </c>
      <c r="C83" s="184" t="s">
        <v>179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93"/>
      <c r="AI83" s="166"/>
      <c r="AJ83" s="177"/>
      <c r="AK83" s="166"/>
      <c r="AL83" s="166"/>
      <c r="AM83" s="193"/>
      <c r="AN83" s="166"/>
      <c r="AO83" s="177"/>
      <c r="AP83" s="166">
        <f t="shared" ref="AP83:AR89" si="21">AP107+AP95/1000</f>
        <v>544.2041019745991</v>
      </c>
      <c r="AQ83" s="166">
        <f t="shared" si="21"/>
        <v>503.20410197459898</v>
      </c>
      <c r="AR83" s="166">
        <f t="shared" si="21"/>
        <v>459.20410197459898</v>
      </c>
    </row>
    <row r="84" spans="2:44" s="149" customFormat="1" outlineLevel="1">
      <c r="B84" s="156" t="s">
        <v>8</v>
      </c>
      <c r="C84" s="182" t="s">
        <v>179</v>
      </c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92"/>
      <c r="AI84" s="167"/>
      <c r="AJ84" s="175"/>
      <c r="AK84" s="167"/>
      <c r="AL84" s="167"/>
      <c r="AM84" s="192"/>
      <c r="AN84" s="167"/>
      <c r="AO84" s="175"/>
      <c r="AP84" s="170" t="e">
        <f t="shared" si="21"/>
        <v>#N/A</v>
      </c>
      <c r="AQ84" s="170" t="e">
        <f t="shared" si="21"/>
        <v>#N/A</v>
      </c>
      <c r="AR84" s="170" t="e">
        <f t="shared" si="21"/>
        <v>#N/A</v>
      </c>
    </row>
    <row r="85" spans="2:44" s="149" customFormat="1" outlineLevel="1">
      <c r="B85" s="155" t="s">
        <v>9</v>
      </c>
      <c r="C85" s="184" t="s">
        <v>179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93"/>
      <c r="AI85" s="166"/>
      <c r="AJ85" s="177"/>
      <c r="AK85" s="166"/>
      <c r="AL85" s="166"/>
      <c r="AM85" s="193"/>
      <c r="AN85" s="166"/>
      <c r="AO85" s="177"/>
      <c r="AP85" s="166">
        <f t="shared" si="21"/>
        <v>143.0101398392145</v>
      </c>
      <c r="AQ85" s="166">
        <f t="shared" si="21"/>
        <v>136.01013983921447</v>
      </c>
      <c r="AR85" s="166">
        <f t="shared" si="21"/>
        <v>129.01013983921447</v>
      </c>
    </row>
    <row r="86" spans="2:44" s="149" customFormat="1" outlineLevel="1">
      <c r="B86" s="179" t="s">
        <v>10</v>
      </c>
      <c r="C86" s="182" t="s">
        <v>179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92"/>
      <c r="AI86" s="167"/>
      <c r="AJ86" s="175"/>
      <c r="AK86" s="167"/>
      <c r="AL86" s="167"/>
      <c r="AM86" s="192"/>
      <c r="AN86" s="167"/>
      <c r="AO86" s="175"/>
      <c r="AP86" s="167">
        <f t="shared" si="21"/>
        <v>72.426695828708958</v>
      </c>
      <c r="AQ86" s="167">
        <f t="shared" si="21"/>
        <v>67.426695828708958</v>
      </c>
      <c r="AR86" s="167">
        <f t="shared" si="21"/>
        <v>62.426695828708958</v>
      </c>
    </row>
    <row r="87" spans="2:44" s="149" customFormat="1" outlineLevel="1">
      <c r="B87" s="155" t="s">
        <v>14</v>
      </c>
      <c r="C87" s="184" t="s">
        <v>179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93"/>
      <c r="AI87" s="172"/>
      <c r="AJ87" s="177"/>
      <c r="AK87" s="172"/>
      <c r="AL87" s="172"/>
      <c r="AM87" s="193"/>
      <c r="AN87" s="172"/>
      <c r="AO87" s="177"/>
      <c r="AP87" s="166">
        <f t="shared" si="21"/>
        <v>92.862374399674508</v>
      </c>
      <c r="AQ87" s="166">
        <f t="shared" si="21"/>
        <v>83.862374399674508</v>
      </c>
      <c r="AR87" s="166">
        <f t="shared" si="21"/>
        <v>72.862374399674508</v>
      </c>
    </row>
    <row r="88" spans="2:44" s="149" customFormat="1" outlineLevel="1">
      <c r="B88" s="156" t="s">
        <v>15</v>
      </c>
      <c r="C88" s="182" t="s">
        <v>179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92"/>
      <c r="AI88" s="167"/>
      <c r="AJ88" s="175"/>
      <c r="AK88" s="167"/>
      <c r="AL88" s="167"/>
      <c r="AM88" s="192"/>
      <c r="AN88" s="167"/>
      <c r="AO88" s="175"/>
      <c r="AP88" s="167">
        <f t="shared" si="21"/>
        <v>63.050187742886607</v>
      </c>
      <c r="AQ88" s="167">
        <f t="shared" si="21"/>
        <v>61.050187742886607</v>
      </c>
      <c r="AR88" s="167">
        <f t="shared" si="21"/>
        <v>60.050187742886607</v>
      </c>
    </row>
    <row r="89" spans="2:44" s="149" customFormat="1" outlineLevel="1">
      <c r="B89" s="155" t="s">
        <v>16</v>
      </c>
      <c r="C89" s="184" t="s">
        <v>179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93"/>
      <c r="AI89" s="166"/>
      <c r="AJ89" s="177"/>
      <c r="AK89" s="166"/>
      <c r="AL89" s="166"/>
      <c r="AM89" s="193"/>
      <c r="AN89" s="166"/>
      <c r="AO89" s="177"/>
      <c r="AP89" s="166">
        <f t="shared" si="21"/>
        <v>7.5909438135190577</v>
      </c>
      <c r="AQ89" s="166">
        <f t="shared" si="21"/>
        <v>7.5909438135190577</v>
      </c>
      <c r="AR89" s="166">
        <f t="shared" si="21"/>
        <v>6.5909438135190577</v>
      </c>
    </row>
    <row r="90" spans="2:44" s="149" customFormat="1" outlineLevel="1">
      <c r="B90" s="156" t="s">
        <v>72</v>
      </c>
      <c r="C90" s="182" t="s">
        <v>179</v>
      </c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81"/>
      <c r="AI90" s="167"/>
      <c r="AJ90" s="181"/>
      <c r="AK90" s="167"/>
      <c r="AL90" s="167"/>
      <c r="AM90" s="181"/>
      <c r="AN90" s="167"/>
      <c r="AO90" s="181"/>
      <c r="AP90" s="167"/>
      <c r="AQ90" s="167"/>
      <c r="AR90" s="167"/>
    </row>
    <row r="91" spans="2:44" s="149" customFormat="1" outlineLevel="1">
      <c r="B91" s="155" t="s">
        <v>8</v>
      </c>
      <c r="C91" s="159" t="s">
        <v>190</v>
      </c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94"/>
      <c r="AI91" s="166"/>
      <c r="AJ91" s="194"/>
      <c r="AK91" s="166"/>
      <c r="AL91" s="166"/>
      <c r="AM91" s="166"/>
      <c r="AN91" s="166"/>
      <c r="AO91" s="166"/>
      <c r="AP91" s="166">
        <f>AP115+AP103/1000</f>
        <v>165.46376035059535</v>
      </c>
      <c r="AQ91" s="166">
        <f>AQ115+AQ103/1000</f>
        <v>146.83876035059535</v>
      </c>
      <c r="AR91" s="166">
        <f>AR115+AR103/1000</f>
        <v>128.21376035059535</v>
      </c>
    </row>
    <row r="92" spans="2:44" s="149" customFormat="1" ht="29.25" customHeight="1" outlineLevel="1" thickBot="1">
      <c r="B92" s="153"/>
      <c r="C92" s="160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208"/>
      <c r="AI92" s="209"/>
      <c r="AJ92" s="205"/>
      <c r="AK92" s="206"/>
      <c r="AL92" s="206"/>
      <c r="AM92" s="205" t="s">
        <v>99</v>
      </c>
      <c r="AN92" s="205" t="s">
        <v>99</v>
      </c>
      <c r="AO92" s="205" t="s">
        <v>99</v>
      </c>
      <c r="AP92" s="205" t="s">
        <v>99</v>
      </c>
      <c r="AQ92" s="205" t="s">
        <v>99</v>
      </c>
      <c r="AR92" s="205" t="s">
        <v>99</v>
      </c>
    </row>
    <row r="93" spans="2:44" s="149" customFormat="1" outlineLevel="1">
      <c r="B93" s="173" t="s">
        <v>161</v>
      </c>
      <c r="C93" s="162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 t="s">
        <v>40</v>
      </c>
      <c r="AL93" s="165"/>
      <c r="AM93" s="165"/>
      <c r="AN93" s="165"/>
      <c r="AO93" s="215" t="s">
        <v>157</v>
      </c>
      <c r="AP93" s="165"/>
      <c r="AQ93" s="165"/>
      <c r="AR93" s="165"/>
    </row>
    <row r="94" spans="2:44" s="149" customFormat="1" outlineLevel="1">
      <c r="B94" s="150" t="s">
        <v>66</v>
      </c>
      <c r="C94" s="157"/>
      <c r="D94" s="154">
        <v>32874</v>
      </c>
      <c r="E94" s="154">
        <v>33239</v>
      </c>
      <c r="F94" s="154">
        <v>33604</v>
      </c>
      <c r="G94" s="154">
        <v>33970</v>
      </c>
      <c r="H94" s="154">
        <v>34335</v>
      </c>
      <c r="I94" s="154">
        <v>34700</v>
      </c>
      <c r="J94" s="154">
        <v>35065</v>
      </c>
      <c r="K94" s="154">
        <v>35431</v>
      </c>
      <c r="L94" s="154">
        <v>35796</v>
      </c>
      <c r="M94" s="154">
        <v>36161</v>
      </c>
      <c r="N94" s="154">
        <v>36526</v>
      </c>
      <c r="O94" s="154">
        <v>36892</v>
      </c>
      <c r="P94" s="154">
        <v>37257</v>
      </c>
      <c r="Q94" s="154">
        <v>37622</v>
      </c>
      <c r="R94" s="154">
        <v>37987</v>
      </c>
      <c r="S94" s="154">
        <v>38353</v>
      </c>
      <c r="T94" s="154">
        <v>38718</v>
      </c>
      <c r="U94" s="154">
        <v>39083</v>
      </c>
      <c r="V94" s="154">
        <v>39448</v>
      </c>
      <c r="W94" s="154">
        <v>39814</v>
      </c>
      <c r="X94" s="154">
        <v>40179</v>
      </c>
      <c r="Y94" s="154">
        <v>40544</v>
      </c>
      <c r="Z94" s="154">
        <v>40909</v>
      </c>
      <c r="AA94" s="154">
        <v>41275</v>
      </c>
      <c r="AB94" s="154">
        <v>41640</v>
      </c>
      <c r="AC94" s="154">
        <v>42005</v>
      </c>
      <c r="AD94" s="154">
        <v>42370</v>
      </c>
      <c r="AE94" s="154">
        <v>42736</v>
      </c>
      <c r="AF94" s="154">
        <v>43101</v>
      </c>
      <c r="AG94" s="154">
        <v>43466</v>
      </c>
      <c r="AH94" s="154">
        <v>43831</v>
      </c>
      <c r="AI94" s="154">
        <v>44197</v>
      </c>
      <c r="AJ94" s="154">
        <v>44562</v>
      </c>
      <c r="AK94" s="154">
        <v>44927</v>
      </c>
      <c r="AL94" s="154">
        <v>45292</v>
      </c>
      <c r="AM94" s="154">
        <v>45658</v>
      </c>
      <c r="AN94" s="154">
        <v>46023</v>
      </c>
      <c r="AO94" s="174">
        <v>46388</v>
      </c>
      <c r="AP94" s="154">
        <v>46753</v>
      </c>
      <c r="AQ94" s="154">
        <v>47119</v>
      </c>
      <c r="AR94" s="154">
        <v>47484</v>
      </c>
    </row>
    <row r="95" spans="2:44" s="149" customFormat="1" outlineLevel="1">
      <c r="B95" s="155" t="s">
        <v>171</v>
      </c>
      <c r="C95" s="184" t="s">
        <v>139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85"/>
      <c r="AI95" s="166"/>
      <c r="AJ95" s="166"/>
      <c r="AK95" s="166"/>
      <c r="AL95" s="166"/>
      <c r="AM95" s="166"/>
      <c r="AN95" s="166"/>
      <c r="AO95" s="198">
        <f>IF(AO$35&gt;0,(AO$35-AO107)*1000,0)</f>
        <v>0</v>
      </c>
      <c r="AP95" s="171">
        <f>-$AO95/3</f>
        <v>0</v>
      </c>
      <c r="AQ95" s="171">
        <f t="shared" ref="AQ95:AR103" si="22">-$AO95/3</f>
        <v>0</v>
      </c>
      <c r="AR95" s="171">
        <f t="shared" si="22"/>
        <v>0</v>
      </c>
    </row>
    <row r="96" spans="2:44" s="149" customFormat="1" outlineLevel="1">
      <c r="B96" s="156" t="s">
        <v>8</v>
      </c>
      <c r="C96" s="182" t="s">
        <v>139</v>
      </c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83"/>
      <c r="AI96" s="167"/>
      <c r="AJ96" s="167"/>
      <c r="AK96" s="167"/>
      <c r="AL96" s="167"/>
      <c r="AM96" s="167"/>
      <c r="AN96" s="167"/>
      <c r="AO96" s="198" t="e">
        <f t="shared" ref="AO96" si="23">(AO36-AO108)*1000</f>
        <v>#N/A</v>
      </c>
      <c r="AP96" s="203" t="e">
        <v>#N/A</v>
      </c>
      <c r="AQ96" s="203" t="e">
        <v>#N/A</v>
      </c>
      <c r="AR96" s="203" t="e">
        <v>#N/A</v>
      </c>
    </row>
    <row r="97" spans="2:44" s="149" customFormat="1" outlineLevel="1">
      <c r="B97" s="155" t="s">
        <v>9</v>
      </c>
      <c r="C97" s="184" t="s">
        <v>139</v>
      </c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85"/>
      <c r="AI97" s="166"/>
      <c r="AJ97" s="166"/>
      <c r="AK97" s="166"/>
      <c r="AL97" s="166"/>
      <c r="AM97" s="166"/>
      <c r="AN97" s="166"/>
      <c r="AO97" s="198">
        <f>IF(AO$37&gt;0,(AO$37-AO109)*1000,0)</f>
        <v>0</v>
      </c>
      <c r="AP97" s="171">
        <f>-$AO97/3</f>
        <v>0</v>
      </c>
      <c r="AQ97" s="171">
        <f t="shared" si="22"/>
        <v>0</v>
      </c>
      <c r="AR97" s="171">
        <f t="shared" si="22"/>
        <v>0</v>
      </c>
    </row>
    <row r="98" spans="2:44" s="149" customFormat="1" outlineLevel="1">
      <c r="B98" s="179" t="s">
        <v>10</v>
      </c>
      <c r="C98" s="182" t="s">
        <v>139</v>
      </c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83"/>
      <c r="AI98" s="167"/>
      <c r="AJ98" s="167"/>
      <c r="AK98" s="167"/>
      <c r="AL98" s="167"/>
      <c r="AM98" s="167"/>
      <c r="AN98" s="167"/>
      <c r="AO98" s="198">
        <f>IF(AO$38&gt;0,(AO$38-AO110)*1000,0)</f>
        <v>0</v>
      </c>
      <c r="AP98" s="170">
        <f>-$AO98/3</f>
        <v>0</v>
      </c>
      <c r="AQ98" s="170">
        <f t="shared" si="22"/>
        <v>0</v>
      </c>
      <c r="AR98" s="170">
        <f t="shared" si="22"/>
        <v>0</v>
      </c>
    </row>
    <row r="99" spans="2:44" s="149" customFormat="1" outlineLevel="1">
      <c r="B99" s="155" t="s">
        <v>14</v>
      </c>
      <c r="C99" s="184" t="s">
        <v>139</v>
      </c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85"/>
      <c r="AI99" s="172"/>
      <c r="AJ99" s="172"/>
      <c r="AK99" s="172"/>
      <c r="AL99" s="172"/>
      <c r="AM99" s="172"/>
      <c r="AN99" s="172"/>
      <c r="AO99" s="198">
        <f>IF(AO$39&gt;0,(AO$39-AO111)*1000,0)</f>
        <v>0</v>
      </c>
      <c r="AP99" s="171">
        <f t="shared" ref="AP99:AP101" si="24">-$AO99/3</f>
        <v>0</v>
      </c>
      <c r="AQ99" s="171">
        <f t="shared" si="22"/>
        <v>0</v>
      </c>
      <c r="AR99" s="171">
        <f t="shared" si="22"/>
        <v>0</v>
      </c>
    </row>
    <row r="100" spans="2:44" s="149" customFormat="1" outlineLevel="1">
      <c r="B100" s="156" t="s">
        <v>15</v>
      </c>
      <c r="C100" s="182" t="s">
        <v>139</v>
      </c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83"/>
      <c r="AI100" s="167"/>
      <c r="AJ100" s="167"/>
      <c r="AK100" s="167"/>
      <c r="AL100" s="167"/>
      <c r="AM100" s="167"/>
      <c r="AN100" s="167"/>
      <c r="AO100" s="198">
        <f>IF(AO$40&gt;0,(AO$40-AO112)*1000,0)</f>
        <v>0</v>
      </c>
      <c r="AP100" s="170">
        <f t="shared" si="24"/>
        <v>0</v>
      </c>
      <c r="AQ100" s="170">
        <f t="shared" si="22"/>
        <v>0</v>
      </c>
      <c r="AR100" s="170">
        <f t="shared" si="22"/>
        <v>0</v>
      </c>
    </row>
    <row r="101" spans="2:44" s="149" customFormat="1" outlineLevel="1">
      <c r="B101" s="155" t="s">
        <v>16</v>
      </c>
      <c r="C101" s="184" t="s">
        <v>139</v>
      </c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85"/>
      <c r="AI101" s="166"/>
      <c r="AJ101" s="166"/>
      <c r="AK101" s="166"/>
      <c r="AL101" s="166"/>
      <c r="AM101" s="166"/>
      <c r="AN101" s="166"/>
      <c r="AO101" s="198">
        <f>IF(AO$41&gt;0,(AO$41-AO113)*1000,0)</f>
        <v>0</v>
      </c>
      <c r="AP101" s="171">
        <f t="shared" si="24"/>
        <v>0</v>
      </c>
      <c r="AQ101" s="171">
        <f t="shared" si="22"/>
        <v>0</v>
      </c>
      <c r="AR101" s="171">
        <f t="shared" si="22"/>
        <v>0</v>
      </c>
    </row>
    <row r="102" spans="2:44" s="149" customFormat="1" outlineLevel="1">
      <c r="B102" s="156" t="s">
        <v>72</v>
      </c>
      <c r="C102" s="182" t="s">
        <v>139</v>
      </c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80"/>
      <c r="AP102" s="167"/>
      <c r="AQ102" s="167"/>
      <c r="AR102" s="167"/>
    </row>
    <row r="103" spans="2:44" s="149" customFormat="1" ht="15.75" outlineLevel="1" thickBot="1">
      <c r="B103" s="155" t="s">
        <v>8</v>
      </c>
      <c r="C103" s="159" t="s">
        <v>190</v>
      </c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99">
        <f>IF(AO$36&gt;0,(AO$36-AO115)*1000,0)</f>
        <v>0</v>
      </c>
      <c r="AP103" s="171">
        <f>-$AO103/3</f>
        <v>0</v>
      </c>
      <c r="AQ103" s="171">
        <f t="shared" si="22"/>
        <v>0</v>
      </c>
      <c r="AR103" s="171">
        <f t="shared" si="22"/>
        <v>0</v>
      </c>
    </row>
    <row r="104" spans="2:44" s="149" customFormat="1" outlineLevel="1">
      <c r="B104" s="151"/>
      <c r="C104" s="162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204"/>
      <c r="AK104" s="165"/>
      <c r="AL104" s="204"/>
      <c r="AM104" s="204" t="s">
        <v>99</v>
      </c>
      <c r="AN104" s="204" t="s">
        <v>99</v>
      </c>
      <c r="AO104" s="204" t="s">
        <v>99</v>
      </c>
      <c r="AP104" s="204" t="s">
        <v>99</v>
      </c>
      <c r="AQ104" s="204" t="s">
        <v>99</v>
      </c>
      <c r="AR104" s="204" t="s">
        <v>99</v>
      </c>
    </row>
    <row r="105" spans="2:44" s="149" customFormat="1" outlineLevel="1">
      <c r="B105" s="173" t="s">
        <v>162</v>
      </c>
      <c r="C105" s="162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91"/>
      <c r="AJ105" s="195"/>
      <c r="AK105" s="165"/>
      <c r="AL105" s="165"/>
      <c r="AM105" s="165"/>
      <c r="AN105" s="165"/>
      <c r="AO105" s="165"/>
      <c r="AP105" s="165"/>
      <c r="AQ105" s="165"/>
      <c r="AR105" s="165"/>
    </row>
    <row r="106" spans="2:44" s="149" customFormat="1" outlineLevel="1">
      <c r="B106" s="150" t="s">
        <v>66</v>
      </c>
      <c r="C106" s="157"/>
      <c r="D106" s="154">
        <v>32874</v>
      </c>
      <c r="E106" s="154">
        <v>33239</v>
      </c>
      <c r="F106" s="154">
        <v>33604</v>
      </c>
      <c r="G106" s="154">
        <v>33970</v>
      </c>
      <c r="H106" s="154">
        <v>34335</v>
      </c>
      <c r="I106" s="154">
        <v>34700</v>
      </c>
      <c r="J106" s="154">
        <v>35065</v>
      </c>
      <c r="K106" s="154">
        <v>35431</v>
      </c>
      <c r="L106" s="154">
        <v>35796</v>
      </c>
      <c r="M106" s="154">
        <v>36161</v>
      </c>
      <c r="N106" s="154">
        <v>36526</v>
      </c>
      <c r="O106" s="154">
        <v>36892</v>
      </c>
      <c r="P106" s="154">
        <v>37257</v>
      </c>
      <c r="Q106" s="154">
        <v>37622</v>
      </c>
      <c r="R106" s="154">
        <v>37987</v>
      </c>
      <c r="S106" s="154">
        <v>38353</v>
      </c>
      <c r="T106" s="154">
        <v>38718</v>
      </c>
      <c r="U106" s="154">
        <v>39083</v>
      </c>
      <c r="V106" s="154">
        <v>39448</v>
      </c>
      <c r="W106" s="154">
        <v>39814</v>
      </c>
      <c r="X106" s="154">
        <v>40179</v>
      </c>
      <c r="Y106" s="154">
        <v>40544</v>
      </c>
      <c r="Z106" s="154">
        <v>40909</v>
      </c>
      <c r="AA106" s="154">
        <v>41275</v>
      </c>
      <c r="AB106" s="154">
        <v>41640</v>
      </c>
      <c r="AC106" s="154">
        <v>42005</v>
      </c>
      <c r="AD106" s="154">
        <v>42370</v>
      </c>
      <c r="AE106" s="154">
        <v>42736</v>
      </c>
      <c r="AF106" s="154">
        <v>43101</v>
      </c>
      <c r="AG106" s="154">
        <v>43466</v>
      </c>
      <c r="AH106" s="207">
        <v>43831</v>
      </c>
      <c r="AI106" s="154">
        <v>44197</v>
      </c>
      <c r="AJ106" s="207">
        <v>44562</v>
      </c>
      <c r="AK106" s="154">
        <v>44927</v>
      </c>
      <c r="AL106" s="154">
        <v>45292</v>
      </c>
      <c r="AM106" s="154">
        <v>45658</v>
      </c>
      <c r="AN106" s="154">
        <v>46023</v>
      </c>
      <c r="AO106" s="154">
        <v>46388</v>
      </c>
      <c r="AP106" s="154">
        <v>46753</v>
      </c>
      <c r="AQ106" s="154">
        <v>47119</v>
      </c>
      <c r="AR106" s="154">
        <v>47484</v>
      </c>
    </row>
    <row r="107" spans="2:44" s="149" customFormat="1" outlineLevel="1">
      <c r="B107" s="155" t="s">
        <v>171</v>
      </c>
      <c r="C107" s="184" t="s">
        <v>183</v>
      </c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93"/>
      <c r="AI107" s="166"/>
      <c r="AJ107" s="177"/>
      <c r="AK107" s="166"/>
      <c r="AL107" s="193"/>
      <c r="AM107" s="166"/>
      <c r="AN107" s="177"/>
      <c r="AO107" s="177">
        <f t="shared" ref="AO107:AR113" si="25">AO131+AO119/1000</f>
        <v>586.2041019745991</v>
      </c>
      <c r="AP107" s="177">
        <f t="shared" si="25"/>
        <v>544.2041019745991</v>
      </c>
      <c r="AQ107" s="177">
        <f t="shared" si="25"/>
        <v>503.20410197459898</v>
      </c>
      <c r="AR107" s="177">
        <f t="shared" si="25"/>
        <v>459.20410197459898</v>
      </c>
    </row>
    <row r="108" spans="2:44" s="149" customFormat="1" outlineLevel="1">
      <c r="B108" s="156" t="s">
        <v>8</v>
      </c>
      <c r="C108" s="182" t="s">
        <v>178</v>
      </c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92"/>
      <c r="AI108" s="167"/>
      <c r="AJ108" s="175"/>
      <c r="AK108" s="167"/>
      <c r="AL108" s="192"/>
      <c r="AM108" s="167"/>
      <c r="AN108" s="175"/>
      <c r="AO108" s="170" t="e">
        <f t="shared" si="25"/>
        <v>#N/A</v>
      </c>
      <c r="AP108" s="170" t="e">
        <f t="shared" si="25"/>
        <v>#N/A</v>
      </c>
      <c r="AQ108" s="170" t="e">
        <f t="shared" si="25"/>
        <v>#N/A</v>
      </c>
      <c r="AR108" s="170" t="e">
        <f t="shared" si="25"/>
        <v>#N/A</v>
      </c>
    </row>
    <row r="109" spans="2:44" s="149" customFormat="1" outlineLevel="1">
      <c r="B109" s="155" t="s">
        <v>9</v>
      </c>
      <c r="C109" s="184" t="s">
        <v>178</v>
      </c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93"/>
      <c r="AI109" s="166"/>
      <c r="AJ109" s="177"/>
      <c r="AK109" s="166"/>
      <c r="AL109" s="193"/>
      <c r="AM109" s="166"/>
      <c r="AN109" s="177"/>
      <c r="AO109" s="177">
        <f t="shared" si="25"/>
        <v>151.0101398392145</v>
      </c>
      <c r="AP109" s="177">
        <f t="shared" si="25"/>
        <v>143.0101398392145</v>
      </c>
      <c r="AQ109" s="177">
        <f t="shared" si="25"/>
        <v>136.01013983921447</v>
      </c>
      <c r="AR109" s="177">
        <f t="shared" si="25"/>
        <v>129.01013983921447</v>
      </c>
    </row>
    <row r="110" spans="2:44" s="149" customFormat="1" outlineLevel="1">
      <c r="B110" s="179" t="s">
        <v>10</v>
      </c>
      <c r="C110" s="182" t="s">
        <v>178</v>
      </c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92"/>
      <c r="AI110" s="167"/>
      <c r="AJ110" s="175"/>
      <c r="AK110" s="167"/>
      <c r="AL110" s="192"/>
      <c r="AM110" s="167"/>
      <c r="AN110" s="175"/>
      <c r="AO110" s="175">
        <f t="shared" si="25"/>
        <v>77.426695828708958</v>
      </c>
      <c r="AP110" s="175">
        <f t="shared" si="25"/>
        <v>72.426695828708958</v>
      </c>
      <c r="AQ110" s="175">
        <f t="shared" si="25"/>
        <v>67.426695828708958</v>
      </c>
      <c r="AR110" s="175">
        <f t="shared" si="25"/>
        <v>62.426695828708958</v>
      </c>
    </row>
    <row r="111" spans="2:44" s="149" customFormat="1" outlineLevel="1">
      <c r="B111" s="155" t="s">
        <v>14</v>
      </c>
      <c r="C111" s="184" t="s">
        <v>178</v>
      </c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93"/>
      <c r="AI111" s="172"/>
      <c r="AJ111" s="177"/>
      <c r="AK111" s="172"/>
      <c r="AL111" s="193"/>
      <c r="AM111" s="172"/>
      <c r="AN111" s="177"/>
      <c r="AO111" s="177">
        <f t="shared" si="25"/>
        <v>99.862374399674508</v>
      </c>
      <c r="AP111" s="177">
        <f t="shared" si="25"/>
        <v>92.862374399674508</v>
      </c>
      <c r="AQ111" s="177">
        <f t="shared" si="25"/>
        <v>83.862374399674508</v>
      </c>
      <c r="AR111" s="177">
        <f t="shared" si="25"/>
        <v>72.862374399674508</v>
      </c>
    </row>
    <row r="112" spans="2:44" s="149" customFormat="1" outlineLevel="1">
      <c r="B112" s="156" t="s">
        <v>15</v>
      </c>
      <c r="C112" s="182" t="s">
        <v>178</v>
      </c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92"/>
      <c r="AI112" s="167"/>
      <c r="AJ112" s="175"/>
      <c r="AK112" s="167"/>
      <c r="AL112" s="192"/>
      <c r="AM112" s="167"/>
      <c r="AN112" s="175"/>
      <c r="AO112" s="175">
        <f t="shared" si="25"/>
        <v>65.050187742886607</v>
      </c>
      <c r="AP112" s="175">
        <f t="shared" si="25"/>
        <v>63.050187742886607</v>
      </c>
      <c r="AQ112" s="175">
        <f t="shared" si="25"/>
        <v>61.050187742886607</v>
      </c>
      <c r="AR112" s="175">
        <f t="shared" si="25"/>
        <v>60.050187742886607</v>
      </c>
    </row>
    <row r="113" spans="2:44" s="149" customFormat="1" outlineLevel="1">
      <c r="B113" s="155" t="s">
        <v>16</v>
      </c>
      <c r="C113" s="184" t="s">
        <v>178</v>
      </c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93"/>
      <c r="AI113" s="166"/>
      <c r="AJ113" s="177"/>
      <c r="AK113" s="166"/>
      <c r="AL113" s="193"/>
      <c r="AM113" s="166"/>
      <c r="AN113" s="177"/>
      <c r="AO113" s="177">
        <f t="shared" si="25"/>
        <v>8.5909438135190577</v>
      </c>
      <c r="AP113" s="177">
        <f t="shared" si="25"/>
        <v>7.5909438135190577</v>
      </c>
      <c r="AQ113" s="177">
        <f t="shared" si="25"/>
        <v>7.5909438135190577</v>
      </c>
      <c r="AR113" s="177">
        <f t="shared" si="25"/>
        <v>6.5909438135190577</v>
      </c>
    </row>
    <row r="114" spans="2:44" s="149" customFormat="1" outlineLevel="1">
      <c r="B114" s="156" t="s">
        <v>72</v>
      </c>
      <c r="C114" s="182" t="s">
        <v>178</v>
      </c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81"/>
      <c r="AI114" s="167"/>
      <c r="AJ114" s="181"/>
      <c r="AK114" s="167"/>
      <c r="AL114" s="181"/>
      <c r="AM114" s="167"/>
      <c r="AN114" s="181"/>
      <c r="AO114" s="167"/>
      <c r="AP114" s="167"/>
      <c r="AQ114" s="167"/>
      <c r="AR114" s="167"/>
    </row>
    <row r="115" spans="2:44" s="149" customFormat="1" outlineLevel="1">
      <c r="B115" s="155" t="s">
        <v>8</v>
      </c>
      <c r="C115" s="159" t="s">
        <v>190</v>
      </c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94"/>
      <c r="AI115" s="166"/>
      <c r="AJ115" s="194"/>
      <c r="AK115" s="166"/>
      <c r="AL115" s="166"/>
      <c r="AM115" s="166"/>
      <c r="AN115" s="166"/>
      <c r="AO115" s="177">
        <f>AO139+AO127/1000</f>
        <v>184.08876035059535</v>
      </c>
      <c r="AP115" s="177">
        <f>AP139+AP127/1000</f>
        <v>165.46376035059535</v>
      </c>
      <c r="AQ115" s="177">
        <f>AQ139+AQ127/1000</f>
        <v>146.83876035059535</v>
      </c>
      <c r="AR115" s="177">
        <f>AR139+AR127/1000</f>
        <v>128.21376035059535</v>
      </c>
    </row>
    <row r="116" spans="2:44" s="149" customFormat="1" ht="29.25" customHeight="1" outlineLevel="1" thickBot="1">
      <c r="B116" s="153"/>
      <c r="C116" s="160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208"/>
      <c r="AI116" s="209"/>
      <c r="AJ116" s="205"/>
      <c r="AK116" s="206"/>
      <c r="AL116" s="206"/>
      <c r="AM116" s="205" t="s">
        <v>99</v>
      </c>
      <c r="AN116" s="205" t="s">
        <v>99</v>
      </c>
      <c r="AO116" s="205" t="s">
        <v>99</v>
      </c>
      <c r="AP116" s="205" t="s">
        <v>99</v>
      </c>
      <c r="AQ116" s="205" t="s">
        <v>99</v>
      </c>
      <c r="AR116" s="205" t="s">
        <v>99</v>
      </c>
    </row>
    <row r="117" spans="2:44" s="149" customFormat="1" outlineLevel="1">
      <c r="B117" s="173" t="s">
        <v>163</v>
      </c>
      <c r="C117" s="162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 t="s">
        <v>40</v>
      </c>
      <c r="AL117" s="165"/>
      <c r="AM117" s="165"/>
      <c r="AN117" s="215" t="s">
        <v>157</v>
      </c>
      <c r="AO117" s="165"/>
      <c r="AP117" s="165"/>
      <c r="AQ117" s="165"/>
      <c r="AR117" s="165"/>
    </row>
    <row r="118" spans="2:44" s="149" customFormat="1" outlineLevel="1">
      <c r="B118" s="150" t="s">
        <v>66</v>
      </c>
      <c r="C118" s="157"/>
      <c r="D118" s="154">
        <v>32874</v>
      </c>
      <c r="E118" s="154">
        <v>33239</v>
      </c>
      <c r="F118" s="154">
        <v>33604</v>
      </c>
      <c r="G118" s="154">
        <v>33970</v>
      </c>
      <c r="H118" s="154">
        <v>34335</v>
      </c>
      <c r="I118" s="154">
        <v>34700</v>
      </c>
      <c r="J118" s="154">
        <v>35065</v>
      </c>
      <c r="K118" s="154">
        <v>35431</v>
      </c>
      <c r="L118" s="154">
        <v>35796</v>
      </c>
      <c r="M118" s="154">
        <v>36161</v>
      </c>
      <c r="N118" s="154">
        <v>36526</v>
      </c>
      <c r="O118" s="154">
        <v>36892</v>
      </c>
      <c r="P118" s="154">
        <v>37257</v>
      </c>
      <c r="Q118" s="154">
        <v>37622</v>
      </c>
      <c r="R118" s="154">
        <v>37987</v>
      </c>
      <c r="S118" s="154">
        <v>38353</v>
      </c>
      <c r="T118" s="154">
        <v>38718</v>
      </c>
      <c r="U118" s="154">
        <v>39083</v>
      </c>
      <c r="V118" s="154">
        <v>39448</v>
      </c>
      <c r="W118" s="154">
        <v>39814</v>
      </c>
      <c r="X118" s="154">
        <v>40179</v>
      </c>
      <c r="Y118" s="154">
        <v>40544</v>
      </c>
      <c r="Z118" s="154">
        <v>40909</v>
      </c>
      <c r="AA118" s="154">
        <v>41275</v>
      </c>
      <c r="AB118" s="154">
        <v>41640</v>
      </c>
      <c r="AC118" s="154">
        <v>42005</v>
      </c>
      <c r="AD118" s="154">
        <v>42370</v>
      </c>
      <c r="AE118" s="154">
        <v>42736</v>
      </c>
      <c r="AF118" s="154">
        <v>43101</v>
      </c>
      <c r="AG118" s="154">
        <v>43466</v>
      </c>
      <c r="AH118" s="154">
        <v>43831</v>
      </c>
      <c r="AI118" s="154">
        <v>44197</v>
      </c>
      <c r="AJ118" s="154">
        <v>44562</v>
      </c>
      <c r="AK118" s="154">
        <v>44927</v>
      </c>
      <c r="AL118" s="154">
        <v>45292</v>
      </c>
      <c r="AM118" s="154">
        <v>45658</v>
      </c>
      <c r="AN118" s="174">
        <v>46023</v>
      </c>
      <c r="AO118" s="154">
        <v>46388</v>
      </c>
      <c r="AP118" s="154">
        <v>46753</v>
      </c>
      <c r="AQ118" s="154">
        <v>47119</v>
      </c>
      <c r="AR118" s="154">
        <v>47484</v>
      </c>
    </row>
    <row r="119" spans="2:44" s="149" customFormat="1" outlineLevel="1">
      <c r="B119" s="155" t="s">
        <v>171</v>
      </c>
      <c r="C119" s="184" t="s">
        <v>139</v>
      </c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85"/>
      <c r="AI119" s="166"/>
      <c r="AJ119" s="166"/>
      <c r="AK119" s="166"/>
      <c r="AL119" s="166"/>
      <c r="AM119" s="166"/>
      <c r="AN119" s="198">
        <f>IF(AN$35&gt;0,(AN$35-AN131)*1000,0)</f>
        <v>0</v>
      </c>
      <c r="AO119" s="171">
        <f>-$AN119/4</f>
        <v>0</v>
      </c>
      <c r="AP119" s="171">
        <f t="shared" ref="AP119:AR127" si="26">-$AN119/4</f>
        <v>0</v>
      </c>
      <c r="AQ119" s="171">
        <f t="shared" si="26"/>
        <v>0</v>
      </c>
      <c r="AR119" s="171">
        <f t="shared" si="26"/>
        <v>0</v>
      </c>
    </row>
    <row r="120" spans="2:44" s="149" customFormat="1" outlineLevel="1">
      <c r="B120" s="156" t="s">
        <v>8</v>
      </c>
      <c r="C120" s="182" t="s">
        <v>139</v>
      </c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83"/>
      <c r="AI120" s="167"/>
      <c r="AJ120" s="167"/>
      <c r="AK120" s="167"/>
      <c r="AL120" s="167"/>
      <c r="AM120" s="167"/>
      <c r="AN120" s="198" t="e">
        <f t="shared" ref="AN120" si="27">(AN36-AN132)*1000</f>
        <v>#N/A</v>
      </c>
      <c r="AO120" s="203" t="e">
        <v>#N/A</v>
      </c>
      <c r="AP120" s="203" t="e">
        <v>#N/A</v>
      </c>
      <c r="AQ120" s="203" t="e">
        <v>#N/A</v>
      </c>
      <c r="AR120" s="203" t="e">
        <v>#N/A</v>
      </c>
    </row>
    <row r="121" spans="2:44" s="149" customFormat="1" outlineLevel="1">
      <c r="B121" s="155" t="s">
        <v>9</v>
      </c>
      <c r="C121" s="184" t="s">
        <v>139</v>
      </c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85"/>
      <c r="AI121" s="166"/>
      <c r="AJ121" s="166"/>
      <c r="AK121" s="166"/>
      <c r="AL121" s="166"/>
      <c r="AM121" s="166"/>
      <c r="AN121" s="198">
        <f>IF(AN$37&gt;0,(AN$37-AN133)*1000,0)</f>
        <v>0</v>
      </c>
      <c r="AO121" s="171">
        <f>-$AN121/4</f>
        <v>0</v>
      </c>
      <c r="AP121" s="171">
        <f t="shared" si="26"/>
        <v>0</v>
      </c>
      <c r="AQ121" s="171">
        <f t="shared" si="26"/>
        <v>0</v>
      </c>
      <c r="AR121" s="171">
        <f t="shared" si="26"/>
        <v>0</v>
      </c>
    </row>
    <row r="122" spans="2:44" s="149" customFormat="1" outlineLevel="1">
      <c r="B122" s="179" t="s">
        <v>10</v>
      </c>
      <c r="C122" s="182" t="s">
        <v>139</v>
      </c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83"/>
      <c r="AI122" s="167"/>
      <c r="AJ122" s="167"/>
      <c r="AK122" s="167"/>
      <c r="AL122" s="167"/>
      <c r="AM122" s="167"/>
      <c r="AN122" s="198">
        <f>IF(AN$38&gt;0,(AN$38-AN134)*1000,0)</f>
        <v>0</v>
      </c>
      <c r="AO122" s="170">
        <f>-$AN122/4</f>
        <v>0</v>
      </c>
      <c r="AP122" s="170">
        <f t="shared" si="26"/>
        <v>0</v>
      </c>
      <c r="AQ122" s="170">
        <f t="shared" si="26"/>
        <v>0</v>
      </c>
      <c r="AR122" s="170">
        <f t="shared" si="26"/>
        <v>0</v>
      </c>
    </row>
    <row r="123" spans="2:44" s="149" customFormat="1" outlineLevel="1">
      <c r="B123" s="155" t="s">
        <v>14</v>
      </c>
      <c r="C123" s="184" t="s">
        <v>139</v>
      </c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85"/>
      <c r="AI123" s="172"/>
      <c r="AJ123" s="172"/>
      <c r="AK123" s="172"/>
      <c r="AL123" s="172"/>
      <c r="AM123" s="172"/>
      <c r="AN123" s="198">
        <f>IF(AN$39&gt;0,(AN$39-AN135)*1000,0)</f>
        <v>0</v>
      </c>
      <c r="AO123" s="171">
        <f t="shared" ref="AO123:AO125" si="28">-$AN123/4</f>
        <v>0</v>
      </c>
      <c r="AP123" s="171">
        <f t="shared" si="26"/>
        <v>0</v>
      </c>
      <c r="AQ123" s="171">
        <f t="shared" si="26"/>
        <v>0</v>
      </c>
      <c r="AR123" s="171">
        <f t="shared" si="26"/>
        <v>0</v>
      </c>
    </row>
    <row r="124" spans="2:44" s="149" customFormat="1" outlineLevel="1">
      <c r="B124" s="156" t="s">
        <v>15</v>
      </c>
      <c r="C124" s="182" t="s">
        <v>139</v>
      </c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83"/>
      <c r="AI124" s="167"/>
      <c r="AJ124" s="167"/>
      <c r="AK124" s="167"/>
      <c r="AL124" s="167"/>
      <c r="AM124" s="167"/>
      <c r="AN124" s="198">
        <f>IF(AN$40&gt;0,(AN$40-AN136)*1000,0)</f>
        <v>0</v>
      </c>
      <c r="AO124" s="170">
        <f t="shared" si="28"/>
        <v>0</v>
      </c>
      <c r="AP124" s="170">
        <f t="shared" si="26"/>
        <v>0</v>
      </c>
      <c r="AQ124" s="170">
        <f t="shared" si="26"/>
        <v>0</v>
      </c>
      <c r="AR124" s="170">
        <f t="shared" si="26"/>
        <v>0</v>
      </c>
    </row>
    <row r="125" spans="2:44" s="149" customFormat="1" outlineLevel="1">
      <c r="B125" s="155" t="s">
        <v>16</v>
      </c>
      <c r="C125" s="184" t="s">
        <v>139</v>
      </c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85"/>
      <c r="AI125" s="166"/>
      <c r="AJ125" s="166"/>
      <c r="AK125" s="166"/>
      <c r="AL125" s="166"/>
      <c r="AM125" s="166"/>
      <c r="AN125" s="198">
        <f>IF(AN$41&gt;0,(AN$41-AN137)*1000,0)</f>
        <v>0</v>
      </c>
      <c r="AO125" s="171">
        <f t="shared" si="28"/>
        <v>0</v>
      </c>
      <c r="AP125" s="171">
        <f t="shared" si="26"/>
        <v>0</v>
      </c>
      <c r="AQ125" s="171">
        <f t="shared" si="26"/>
        <v>0</v>
      </c>
      <c r="AR125" s="171">
        <f t="shared" si="26"/>
        <v>0</v>
      </c>
    </row>
    <row r="126" spans="2:44" s="149" customFormat="1" outlineLevel="1">
      <c r="B126" s="156" t="s">
        <v>72</v>
      </c>
      <c r="C126" s="182" t="s">
        <v>139</v>
      </c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80"/>
      <c r="AO126" s="167"/>
      <c r="AP126" s="167"/>
      <c r="AQ126" s="167"/>
      <c r="AR126" s="167"/>
    </row>
    <row r="127" spans="2:44" s="149" customFormat="1" ht="15.75" outlineLevel="1" thickBot="1">
      <c r="B127" s="155" t="s">
        <v>8</v>
      </c>
      <c r="C127" s="159" t="s">
        <v>190</v>
      </c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99">
        <f>IF(AN$36&gt;0,(AN$36-AN139)*1000,0)</f>
        <v>0</v>
      </c>
      <c r="AO127" s="171">
        <f>-$AN127/4</f>
        <v>0</v>
      </c>
      <c r="AP127" s="171">
        <f t="shared" si="26"/>
        <v>0</v>
      </c>
      <c r="AQ127" s="171">
        <f t="shared" si="26"/>
        <v>0</v>
      </c>
      <c r="AR127" s="171">
        <f t="shared" si="26"/>
        <v>0</v>
      </c>
    </row>
    <row r="128" spans="2:44" s="149" customFormat="1" outlineLevel="1">
      <c r="B128" s="151"/>
      <c r="C128" s="162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204"/>
      <c r="AK128" s="165"/>
      <c r="AL128" s="204"/>
      <c r="AM128" s="204" t="s">
        <v>99</v>
      </c>
      <c r="AN128" s="204" t="s">
        <v>99</v>
      </c>
      <c r="AO128" s="204" t="s">
        <v>99</v>
      </c>
      <c r="AP128" s="204" t="s">
        <v>99</v>
      </c>
      <c r="AQ128" s="204" t="s">
        <v>99</v>
      </c>
      <c r="AR128" s="204" t="s">
        <v>99</v>
      </c>
    </row>
    <row r="129" spans="2:44" s="149" customFormat="1" outlineLevel="1">
      <c r="B129" s="173" t="s">
        <v>164</v>
      </c>
      <c r="C129" s="162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91"/>
      <c r="AJ129" s="195"/>
      <c r="AK129" s="165"/>
      <c r="AL129" s="165"/>
      <c r="AM129" s="165"/>
      <c r="AN129" s="165"/>
      <c r="AO129" s="165"/>
      <c r="AP129" s="165"/>
      <c r="AQ129" s="165"/>
      <c r="AR129" s="165"/>
    </row>
    <row r="130" spans="2:44" s="149" customFormat="1" outlineLevel="1">
      <c r="B130" s="150" t="s">
        <v>66</v>
      </c>
      <c r="C130" s="157"/>
      <c r="D130" s="154">
        <v>32874</v>
      </c>
      <c r="E130" s="154">
        <v>33239</v>
      </c>
      <c r="F130" s="154">
        <v>33604</v>
      </c>
      <c r="G130" s="154">
        <v>33970</v>
      </c>
      <c r="H130" s="154">
        <v>34335</v>
      </c>
      <c r="I130" s="154">
        <v>34700</v>
      </c>
      <c r="J130" s="154">
        <v>35065</v>
      </c>
      <c r="K130" s="154">
        <v>35431</v>
      </c>
      <c r="L130" s="154">
        <v>35796</v>
      </c>
      <c r="M130" s="154">
        <v>36161</v>
      </c>
      <c r="N130" s="154">
        <v>36526</v>
      </c>
      <c r="O130" s="154">
        <v>36892</v>
      </c>
      <c r="P130" s="154">
        <v>37257</v>
      </c>
      <c r="Q130" s="154">
        <v>37622</v>
      </c>
      <c r="R130" s="154">
        <v>37987</v>
      </c>
      <c r="S130" s="154">
        <v>38353</v>
      </c>
      <c r="T130" s="154">
        <v>38718</v>
      </c>
      <c r="U130" s="154">
        <v>39083</v>
      </c>
      <c r="V130" s="154">
        <v>39448</v>
      </c>
      <c r="W130" s="154">
        <v>39814</v>
      </c>
      <c r="X130" s="154">
        <v>40179</v>
      </c>
      <c r="Y130" s="154">
        <v>40544</v>
      </c>
      <c r="Z130" s="154">
        <v>40909</v>
      </c>
      <c r="AA130" s="154">
        <v>41275</v>
      </c>
      <c r="AB130" s="154">
        <v>41640</v>
      </c>
      <c r="AC130" s="154">
        <v>42005</v>
      </c>
      <c r="AD130" s="154">
        <v>42370</v>
      </c>
      <c r="AE130" s="154">
        <v>42736</v>
      </c>
      <c r="AF130" s="154">
        <v>43101</v>
      </c>
      <c r="AG130" s="154">
        <v>43466</v>
      </c>
      <c r="AH130" s="207">
        <v>43831</v>
      </c>
      <c r="AI130" s="154">
        <v>44197</v>
      </c>
      <c r="AJ130" s="207">
        <v>44562</v>
      </c>
      <c r="AK130" s="154">
        <v>44927</v>
      </c>
      <c r="AL130" s="154">
        <v>45292</v>
      </c>
      <c r="AM130" s="154">
        <v>45658</v>
      </c>
      <c r="AN130" s="154">
        <v>46023</v>
      </c>
      <c r="AO130" s="154">
        <v>46388</v>
      </c>
      <c r="AP130" s="154">
        <v>46753</v>
      </c>
      <c r="AQ130" s="154">
        <v>47119</v>
      </c>
      <c r="AR130" s="154">
        <v>47484</v>
      </c>
    </row>
    <row r="131" spans="2:44" s="149" customFormat="1" outlineLevel="1">
      <c r="B131" s="155" t="s">
        <v>171</v>
      </c>
      <c r="C131" s="184" t="s">
        <v>184</v>
      </c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93"/>
      <c r="AI131" s="166"/>
      <c r="AJ131" s="177"/>
      <c r="AK131" s="193"/>
      <c r="AL131" s="166"/>
      <c r="AM131" s="177"/>
      <c r="AN131" s="177">
        <f t="shared" ref="AN131:AR137" si="29">AN155+AN143/1000</f>
        <v>625.2041019745991</v>
      </c>
      <c r="AO131" s="177">
        <f t="shared" si="29"/>
        <v>586.2041019745991</v>
      </c>
      <c r="AP131" s="177">
        <f t="shared" si="29"/>
        <v>544.2041019745991</v>
      </c>
      <c r="AQ131" s="177">
        <f t="shared" si="29"/>
        <v>503.20410197459898</v>
      </c>
      <c r="AR131" s="177">
        <f t="shared" si="29"/>
        <v>459.20410197459898</v>
      </c>
    </row>
    <row r="132" spans="2:44" s="149" customFormat="1" outlineLevel="1">
      <c r="B132" s="156" t="s">
        <v>8</v>
      </c>
      <c r="C132" s="182" t="s">
        <v>177</v>
      </c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92"/>
      <c r="AI132" s="167"/>
      <c r="AJ132" s="175"/>
      <c r="AK132" s="192"/>
      <c r="AL132" s="167"/>
      <c r="AM132" s="175"/>
      <c r="AN132" s="170" t="e">
        <f t="shared" si="29"/>
        <v>#N/A</v>
      </c>
      <c r="AO132" s="170" t="e">
        <f t="shared" si="29"/>
        <v>#N/A</v>
      </c>
      <c r="AP132" s="170" t="e">
        <f t="shared" si="29"/>
        <v>#N/A</v>
      </c>
      <c r="AQ132" s="170" t="e">
        <f t="shared" si="29"/>
        <v>#N/A</v>
      </c>
      <c r="AR132" s="170" t="e">
        <f t="shared" si="29"/>
        <v>#N/A</v>
      </c>
    </row>
    <row r="133" spans="2:44" s="149" customFormat="1" outlineLevel="1">
      <c r="B133" s="155" t="s">
        <v>9</v>
      </c>
      <c r="C133" s="184" t="s">
        <v>177</v>
      </c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93"/>
      <c r="AI133" s="166"/>
      <c r="AJ133" s="177"/>
      <c r="AK133" s="193"/>
      <c r="AL133" s="166"/>
      <c r="AM133" s="177"/>
      <c r="AN133" s="177">
        <f t="shared" si="29"/>
        <v>160.0101398392145</v>
      </c>
      <c r="AO133" s="177">
        <f t="shared" si="29"/>
        <v>151.0101398392145</v>
      </c>
      <c r="AP133" s="177">
        <f t="shared" si="29"/>
        <v>143.0101398392145</v>
      </c>
      <c r="AQ133" s="177">
        <f t="shared" si="29"/>
        <v>136.01013983921447</v>
      </c>
      <c r="AR133" s="177">
        <f t="shared" si="29"/>
        <v>129.01013983921447</v>
      </c>
    </row>
    <row r="134" spans="2:44" s="149" customFormat="1" outlineLevel="1">
      <c r="B134" s="179" t="s">
        <v>10</v>
      </c>
      <c r="C134" s="182" t="s">
        <v>177</v>
      </c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92"/>
      <c r="AI134" s="167"/>
      <c r="AJ134" s="175"/>
      <c r="AK134" s="192"/>
      <c r="AL134" s="167"/>
      <c r="AM134" s="175"/>
      <c r="AN134" s="175">
        <f t="shared" si="29"/>
        <v>82.426695828708958</v>
      </c>
      <c r="AO134" s="175">
        <f t="shared" si="29"/>
        <v>77.426695828708958</v>
      </c>
      <c r="AP134" s="175">
        <f t="shared" si="29"/>
        <v>72.426695828708958</v>
      </c>
      <c r="AQ134" s="175">
        <f t="shared" si="29"/>
        <v>67.426695828708958</v>
      </c>
      <c r="AR134" s="175">
        <f t="shared" si="29"/>
        <v>62.426695828708958</v>
      </c>
    </row>
    <row r="135" spans="2:44" s="149" customFormat="1" outlineLevel="1">
      <c r="B135" s="155" t="s">
        <v>14</v>
      </c>
      <c r="C135" s="184" t="s">
        <v>177</v>
      </c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93"/>
      <c r="AI135" s="172"/>
      <c r="AJ135" s="177"/>
      <c r="AK135" s="193"/>
      <c r="AL135" s="172"/>
      <c r="AM135" s="177"/>
      <c r="AN135" s="177">
        <f t="shared" si="29"/>
        <v>104.86237439967451</v>
      </c>
      <c r="AO135" s="177">
        <f t="shared" si="29"/>
        <v>99.862374399674508</v>
      </c>
      <c r="AP135" s="177">
        <f t="shared" si="29"/>
        <v>92.862374399674508</v>
      </c>
      <c r="AQ135" s="177">
        <f t="shared" si="29"/>
        <v>83.862374399674508</v>
      </c>
      <c r="AR135" s="177">
        <f t="shared" si="29"/>
        <v>72.862374399674508</v>
      </c>
    </row>
    <row r="136" spans="2:44" s="149" customFormat="1" outlineLevel="1">
      <c r="B136" s="156" t="s">
        <v>15</v>
      </c>
      <c r="C136" s="182" t="s">
        <v>177</v>
      </c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92"/>
      <c r="AI136" s="167"/>
      <c r="AJ136" s="175"/>
      <c r="AK136" s="192"/>
      <c r="AL136" s="167"/>
      <c r="AM136" s="175"/>
      <c r="AN136" s="175">
        <f t="shared" si="29"/>
        <v>66.050187742886607</v>
      </c>
      <c r="AO136" s="175">
        <f t="shared" si="29"/>
        <v>65.050187742886607</v>
      </c>
      <c r="AP136" s="175">
        <f t="shared" si="29"/>
        <v>63.050187742886607</v>
      </c>
      <c r="AQ136" s="175">
        <f t="shared" si="29"/>
        <v>61.050187742886607</v>
      </c>
      <c r="AR136" s="175">
        <f t="shared" si="29"/>
        <v>60.050187742886607</v>
      </c>
    </row>
    <row r="137" spans="2:44" s="149" customFormat="1" outlineLevel="1">
      <c r="B137" s="155" t="s">
        <v>16</v>
      </c>
      <c r="C137" s="184" t="s">
        <v>177</v>
      </c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93"/>
      <c r="AI137" s="166"/>
      <c r="AJ137" s="177"/>
      <c r="AK137" s="193"/>
      <c r="AL137" s="166"/>
      <c r="AM137" s="177"/>
      <c r="AN137" s="177">
        <f t="shared" si="29"/>
        <v>8.5909438135190577</v>
      </c>
      <c r="AO137" s="177">
        <f t="shared" si="29"/>
        <v>8.5909438135190577</v>
      </c>
      <c r="AP137" s="177">
        <f t="shared" si="29"/>
        <v>7.5909438135190577</v>
      </c>
      <c r="AQ137" s="177">
        <f t="shared" si="29"/>
        <v>7.5909438135190577</v>
      </c>
      <c r="AR137" s="177">
        <f t="shared" si="29"/>
        <v>6.5909438135190577</v>
      </c>
    </row>
    <row r="138" spans="2:44" s="149" customFormat="1" outlineLevel="1">
      <c r="B138" s="156" t="s">
        <v>72</v>
      </c>
      <c r="C138" s="182" t="s">
        <v>177</v>
      </c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81"/>
      <c r="AI138" s="167"/>
      <c r="AJ138" s="181"/>
      <c r="AK138" s="181"/>
      <c r="AL138" s="167"/>
      <c r="AM138" s="181"/>
      <c r="AN138" s="167"/>
      <c r="AO138" s="167"/>
      <c r="AP138" s="167"/>
      <c r="AQ138" s="167"/>
      <c r="AR138" s="167"/>
    </row>
    <row r="139" spans="2:44" s="149" customFormat="1" outlineLevel="1">
      <c r="B139" s="155" t="s">
        <v>8</v>
      </c>
      <c r="C139" s="159" t="s">
        <v>190</v>
      </c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94"/>
      <c r="AI139" s="166"/>
      <c r="AJ139" s="194"/>
      <c r="AK139" s="166"/>
      <c r="AL139" s="166"/>
      <c r="AM139" s="166"/>
      <c r="AN139" s="177">
        <f>AN163+AN151/1000</f>
        <v>202.71376035059535</v>
      </c>
      <c r="AO139" s="177">
        <f>AO163+AO151/1000</f>
        <v>184.08876035059535</v>
      </c>
      <c r="AP139" s="177">
        <f>AP163+AP151/1000</f>
        <v>165.46376035059535</v>
      </c>
      <c r="AQ139" s="177">
        <f>AQ163+AQ151/1000</f>
        <v>146.83876035059535</v>
      </c>
      <c r="AR139" s="177">
        <f>AR163+AR151/1000</f>
        <v>128.21376035059535</v>
      </c>
    </row>
    <row r="140" spans="2:44" s="149" customFormat="1" ht="29.25" customHeight="1" outlineLevel="1" thickBot="1">
      <c r="B140" s="153"/>
      <c r="C140" s="160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208"/>
      <c r="AI140" s="209"/>
      <c r="AJ140" s="205"/>
      <c r="AK140" s="206"/>
      <c r="AL140" s="206"/>
      <c r="AM140" s="205" t="s">
        <v>99</v>
      </c>
      <c r="AN140" s="205" t="s">
        <v>99</v>
      </c>
      <c r="AO140" s="205" t="s">
        <v>99</v>
      </c>
      <c r="AP140" s="205" t="s">
        <v>99</v>
      </c>
      <c r="AQ140" s="205" t="s">
        <v>99</v>
      </c>
      <c r="AR140" s="205" t="s">
        <v>99</v>
      </c>
    </row>
    <row r="141" spans="2:44" s="149" customFormat="1" outlineLevel="1">
      <c r="B141" s="173" t="s">
        <v>165</v>
      </c>
      <c r="C141" s="162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215" t="s">
        <v>40</v>
      </c>
      <c r="AN141" s="216" t="s">
        <v>157</v>
      </c>
      <c r="AO141" s="165"/>
      <c r="AP141" s="165"/>
      <c r="AQ141" s="165"/>
      <c r="AR141" s="165"/>
    </row>
    <row r="142" spans="2:44" s="149" customFormat="1" outlineLevel="1">
      <c r="B142" s="150" t="s">
        <v>66</v>
      </c>
      <c r="C142" s="157"/>
      <c r="D142" s="154">
        <v>32874</v>
      </c>
      <c r="E142" s="154">
        <v>33239</v>
      </c>
      <c r="F142" s="154">
        <v>33604</v>
      </c>
      <c r="G142" s="154">
        <v>33970</v>
      </c>
      <c r="H142" s="154">
        <v>34335</v>
      </c>
      <c r="I142" s="154">
        <v>34700</v>
      </c>
      <c r="J142" s="154">
        <v>35065</v>
      </c>
      <c r="K142" s="154">
        <v>35431</v>
      </c>
      <c r="L142" s="154">
        <v>35796</v>
      </c>
      <c r="M142" s="154">
        <v>36161</v>
      </c>
      <c r="N142" s="154">
        <v>36526</v>
      </c>
      <c r="O142" s="154">
        <v>36892</v>
      </c>
      <c r="P142" s="154">
        <v>37257</v>
      </c>
      <c r="Q142" s="154">
        <v>37622</v>
      </c>
      <c r="R142" s="154">
        <v>37987</v>
      </c>
      <c r="S142" s="154">
        <v>38353</v>
      </c>
      <c r="T142" s="154">
        <v>38718</v>
      </c>
      <c r="U142" s="154">
        <v>39083</v>
      </c>
      <c r="V142" s="154">
        <v>39448</v>
      </c>
      <c r="W142" s="154">
        <v>39814</v>
      </c>
      <c r="X142" s="154">
        <v>40179</v>
      </c>
      <c r="Y142" s="154">
        <v>40544</v>
      </c>
      <c r="Z142" s="154">
        <v>40909</v>
      </c>
      <c r="AA142" s="154">
        <v>41275</v>
      </c>
      <c r="AB142" s="154">
        <v>41640</v>
      </c>
      <c r="AC142" s="154">
        <v>42005</v>
      </c>
      <c r="AD142" s="154">
        <v>42370</v>
      </c>
      <c r="AE142" s="154">
        <v>42736</v>
      </c>
      <c r="AF142" s="154">
        <v>43101</v>
      </c>
      <c r="AG142" s="154">
        <v>43466</v>
      </c>
      <c r="AH142" s="154">
        <v>43831</v>
      </c>
      <c r="AI142" s="154">
        <v>44197</v>
      </c>
      <c r="AJ142" s="154">
        <v>44562</v>
      </c>
      <c r="AK142" s="154">
        <v>44927</v>
      </c>
      <c r="AL142" s="154">
        <v>45292</v>
      </c>
      <c r="AM142" s="174">
        <v>45658</v>
      </c>
      <c r="AN142" s="154">
        <v>46023</v>
      </c>
      <c r="AO142" s="154">
        <v>46388</v>
      </c>
      <c r="AP142" s="154">
        <v>46753</v>
      </c>
      <c r="AQ142" s="154">
        <v>47119</v>
      </c>
      <c r="AR142" s="154">
        <v>47484</v>
      </c>
    </row>
    <row r="143" spans="2:44" s="149" customFormat="1" outlineLevel="1">
      <c r="B143" s="155" t="s">
        <v>171</v>
      </c>
      <c r="C143" s="184" t="s">
        <v>139</v>
      </c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85"/>
      <c r="AI143" s="166"/>
      <c r="AJ143" s="166"/>
      <c r="AK143" s="166"/>
      <c r="AL143" s="166"/>
      <c r="AM143" s="198">
        <f>IF(AM$35&gt;0,(AM$35-AM155)*1000,0)</f>
        <v>-12781.221121379531</v>
      </c>
      <c r="AN143" s="171">
        <f>-$AM143/5</f>
        <v>2556.2442242759062</v>
      </c>
      <c r="AO143" s="171">
        <f t="shared" ref="AO143:AR151" si="30">-$AM143/5</f>
        <v>2556.2442242759062</v>
      </c>
      <c r="AP143" s="171">
        <f t="shared" si="30"/>
        <v>2556.2442242759062</v>
      </c>
      <c r="AQ143" s="171">
        <f t="shared" si="30"/>
        <v>2556.2442242759062</v>
      </c>
      <c r="AR143" s="171">
        <f t="shared" si="30"/>
        <v>2556.2442242759062</v>
      </c>
    </row>
    <row r="144" spans="2:44" s="149" customFormat="1" outlineLevel="1">
      <c r="B144" s="156" t="s">
        <v>8</v>
      </c>
      <c r="C144" s="182" t="s">
        <v>139</v>
      </c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83"/>
      <c r="AI144" s="167"/>
      <c r="AJ144" s="167"/>
      <c r="AK144" s="167"/>
      <c r="AL144" s="167"/>
      <c r="AM144" s="198" t="e">
        <f t="shared" ref="AM144" si="31">(AM36-AM156)*1000</f>
        <v>#N/A</v>
      </c>
      <c r="AN144" s="203" t="e">
        <v>#N/A</v>
      </c>
      <c r="AO144" s="203" t="e">
        <v>#N/A</v>
      </c>
      <c r="AP144" s="203" t="e">
        <v>#N/A</v>
      </c>
      <c r="AQ144" s="203" t="e">
        <v>#N/A</v>
      </c>
      <c r="AR144" s="167" t="e">
        <f t="shared" si="30"/>
        <v>#N/A</v>
      </c>
    </row>
    <row r="145" spans="2:44" s="149" customFormat="1" outlineLevel="1">
      <c r="B145" s="155" t="s">
        <v>9</v>
      </c>
      <c r="C145" s="184" t="s">
        <v>139</v>
      </c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85"/>
      <c r="AI145" s="166"/>
      <c r="AJ145" s="166"/>
      <c r="AK145" s="166"/>
      <c r="AL145" s="166"/>
      <c r="AM145" s="198">
        <f>IF(AM$37&gt;0,(AM$37-AM157)*1000,0)</f>
        <v>-19890.375632717336</v>
      </c>
      <c r="AN145" s="171">
        <f>-$AM145/5</f>
        <v>3978.0751265434674</v>
      </c>
      <c r="AO145" s="171">
        <f t="shared" si="30"/>
        <v>3978.0751265434674</v>
      </c>
      <c r="AP145" s="171">
        <f t="shared" si="30"/>
        <v>3978.0751265434674</v>
      </c>
      <c r="AQ145" s="171">
        <f t="shared" si="30"/>
        <v>3978.0751265434674</v>
      </c>
      <c r="AR145" s="171">
        <f t="shared" si="30"/>
        <v>3978.0751265434674</v>
      </c>
    </row>
    <row r="146" spans="2:44" s="149" customFormat="1" outlineLevel="1">
      <c r="B146" s="179" t="s">
        <v>10</v>
      </c>
      <c r="C146" s="182" t="s">
        <v>139</v>
      </c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83"/>
      <c r="AI146" s="167"/>
      <c r="AJ146" s="167"/>
      <c r="AK146" s="167"/>
      <c r="AL146" s="167"/>
      <c r="AM146" s="198">
        <f>IF(AM$38&gt;0,(AM$38-AM158)*1000,0)</f>
        <v>13282.642343357566</v>
      </c>
      <c r="AN146" s="170">
        <f t="shared" ref="AN146:AN149" si="32">-$AM146/5</f>
        <v>-2656.5284686715131</v>
      </c>
      <c r="AO146" s="170">
        <f t="shared" si="30"/>
        <v>-2656.5284686715131</v>
      </c>
      <c r="AP146" s="170">
        <f t="shared" si="30"/>
        <v>-2656.5284686715131</v>
      </c>
      <c r="AQ146" s="170">
        <f t="shared" si="30"/>
        <v>-2656.5284686715131</v>
      </c>
      <c r="AR146" s="170">
        <f t="shared" si="30"/>
        <v>-2656.5284686715131</v>
      </c>
    </row>
    <row r="147" spans="2:44" s="149" customFormat="1" outlineLevel="1">
      <c r="B147" s="155" t="s">
        <v>14</v>
      </c>
      <c r="C147" s="184" t="s">
        <v>139</v>
      </c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85"/>
      <c r="AI147" s="172"/>
      <c r="AJ147" s="172"/>
      <c r="AK147" s="172"/>
      <c r="AL147" s="172"/>
      <c r="AM147" s="198">
        <f>IF(AM$39&gt;0,(AM$39-AM159)*1000,0)</f>
        <v>29535.651176741525</v>
      </c>
      <c r="AN147" s="171">
        <f t="shared" si="32"/>
        <v>-5907.1302353483052</v>
      </c>
      <c r="AO147" s="171">
        <f t="shared" si="30"/>
        <v>-5907.1302353483052</v>
      </c>
      <c r="AP147" s="171">
        <f t="shared" si="30"/>
        <v>-5907.1302353483052</v>
      </c>
      <c r="AQ147" s="171">
        <f t="shared" si="30"/>
        <v>-5907.1302353483052</v>
      </c>
      <c r="AR147" s="171">
        <f t="shared" si="30"/>
        <v>-5907.1302353483052</v>
      </c>
    </row>
    <row r="148" spans="2:44" s="149" customFormat="1" outlineLevel="1">
      <c r="B148" s="156" t="s">
        <v>15</v>
      </c>
      <c r="C148" s="182" t="s">
        <v>139</v>
      </c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83"/>
      <c r="AI148" s="167"/>
      <c r="AJ148" s="167"/>
      <c r="AK148" s="167"/>
      <c r="AL148" s="167"/>
      <c r="AM148" s="198">
        <f>IF(AM$40&gt;0,(AM$40-AM160)*1000,0)</f>
        <v>-5173.0887793956908</v>
      </c>
      <c r="AN148" s="170">
        <f t="shared" si="32"/>
        <v>1034.6177558791383</v>
      </c>
      <c r="AO148" s="170">
        <f t="shared" si="30"/>
        <v>1034.6177558791383</v>
      </c>
      <c r="AP148" s="170">
        <f t="shared" si="30"/>
        <v>1034.6177558791383</v>
      </c>
      <c r="AQ148" s="170">
        <f t="shared" si="30"/>
        <v>1034.6177558791383</v>
      </c>
      <c r="AR148" s="170">
        <f t="shared" si="30"/>
        <v>1034.6177558791383</v>
      </c>
    </row>
    <row r="149" spans="2:44" s="149" customFormat="1" outlineLevel="1">
      <c r="B149" s="155" t="s">
        <v>16</v>
      </c>
      <c r="C149" s="184" t="s">
        <v>139</v>
      </c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85"/>
      <c r="AI149" s="166"/>
      <c r="AJ149" s="166"/>
      <c r="AK149" s="166"/>
      <c r="AL149" s="166"/>
      <c r="AM149" s="198">
        <f>IF(AM$41&gt;0,(AM$41-AM161)*1000,0)</f>
        <v>-3722.8773856732573</v>
      </c>
      <c r="AN149" s="171">
        <f t="shared" si="32"/>
        <v>744.57547713465146</v>
      </c>
      <c r="AO149" s="171">
        <f t="shared" si="30"/>
        <v>744.57547713465146</v>
      </c>
      <c r="AP149" s="171">
        <f t="shared" si="30"/>
        <v>744.57547713465146</v>
      </c>
      <c r="AQ149" s="171">
        <f t="shared" si="30"/>
        <v>744.57547713465146</v>
      </c>
      <c r="AR149" s="171">
        <f t="shared" si="30"/>
        <v>744.57547713465146</v>
      </c>
    </row>
    <row r="150" spans="2:44" s="149" customFormat="1" outlineLevel="1">
      <c r="B150" s="156" t="s">
        <v>72</v>
      </c>
      <c r="C150" s="182" t="s">
        <v>139</v>
      </c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80"/>
      <c r="AN150" s="167"/>
      <c r="AO150" s="167"/>
      <c r="AP150" s="167"/>
      <c r="AQ150" s="167"/>
      <c r="AR150" s="167"/>
    </row>
    <row r="151" spans="2:44" s="149" customFormat="1" ht="15.75" outlineLevel="1" thickBot="1">
      <c r="B151" s="155" t="s">
        <v>8</v>
      </c>
      <c r="C151" s="159" t="s">
        <v>190</v>
      </c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99">
        <f>IF(AM$36&gt;0,(AM$36-AM163)*1000,0)</f>
        <v>-26875.672843692257</v>
      </c>
      <c r="AN151" s="171">
        <f>-$AM151/5</f>
        <v>5375.134568738451</v>
      </c>
      <c r="AO151" s="171">
        <f t="shared" si="30"/>
        <v>5375.134568738451</v>
      </c>
      <c r="AP151" s="171">
        <f t="shared" si="30"/>
        <v>5375.134568738451</v>
      </c>
      <c r="AQ151" s="171">
        <f t="shared" si="30"/>
        <v>5375.134568738451</v>
      </c>
      <c r="AR151" s="171">
        <f t="shared" si="30"/>
        <v>5375.134568738451</v>
      </c>
    </row>
    <row r="152" spans="2:44" s="149" customFormat="1" outlineLevel="1">
      <c r="B152" s="151"/>
      <c r="C152" s="162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204"/>
      <c r="AK152" s="165"/>
      <c r="AL152" s="204"/>
      <c r="AM152" s="204" t="s">
        <v>99</v>
      </c>
      <c r="AN152" s="204" t="s">
        <v>99</v>
      </c>
      <c r="AO152" s="204" t="s">
        <v>99</v>
      </c>
      <c r="AP152" s="204" t="s">
        <v>99</v>
      </c>
      <c r="AQ152" s="204" t="s">
        <v>99</v>
      </c>
      <c r="AR152" s="204" t="s">
        <v>99</v>
      </c>
    </row>
    <row r="153" spans="2:44" s="149" customFormat="1" outlineLevel="1">
      <c r="B153" s="173" t="s">
        <v>166</v>
      </c>
      <c r="C153" s="162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91"/>
      <c r="AJ153" s="195"/>
      <c r="AK153" s="165"/>
      <c r="AL153" s="165"/>
      <c r="AM153" s="165"/>
      <c r="AN153" s="165"/>
      <c r="AO153" s="165"/>
      <c r="AP153" s="165"/>
      <c r="AQ153" s="165"/>
      <c r="AR153" s="165"/>
    </row>
    <row r="154" spans="2:44" s="149" customFormat="1" outlineLevel="1">
      <c r="B154" s="150" t="s">
        <v>66</v>
      </c>
      <c r="C154" s="157"/>
      <c r="D154" s="154">
        <v>32874</v>
      </c>
      <c r="E154" s="154">
        <v>33239</v>
      </c>
      <c r="F154" s="154">
        <v>33604</v>
      </c>
      <c r="G154" s="154">
        <v>33970</v>
      </c>
      <c r="H154" s="154">
        <v>34335</v>
      </c>
      <c r="I154" s="154">
        <v>34700</v>
      </c>
      <c r="J154" s="154">
        <v>35065</v>
      </c>
      <c r="K154" s="154">
        <v>35431</v>
      </c>
      <c r="L154" s="154">
        <v>35796</v>
      </c>
      <c r="M154" s="154">
        <v>36161</v>
      </c>
      <c r="N154" s="154">
        <v>36526</v>
      </c>
      <c r="O154" s="154">
        <v>36892</v>
      </c>
      <c r="P154" s="154">
        <v>37257</v>
      </c>
      <c r="Q154" s="154">
        <v>37622</v>
      </c>
      <c r="R154" s="154">
        <v>37987</v>
      </c>
      <c r="S154" s="154">
        <v>38353</v>
      </c>
      <c r="T154" s="154">
        <v>38718</v>
      </c>
      <c r="U154" s="154">
        <v>39083</v>
      </c>
      <c r="V154" s="154">
        <v>39448</v>
      </c>
      <c r="W154" s="154">
        <v>39814</v>
      </c>
      <c r="X154" s="154">
        <v>40179</v>
      </c>
      <c r="Y154" s="154">
        <v>40544</v>
      </c>
      <c r="Z154" s="154">
        <v>40909</v>
      </c>
      <c r="AA154" s="154">
        <v>41275</v>
      </c>
      <c r="AB154" s="154">
        <v>41640</v>
      </c>
      <c r="AC154" s="154">
        <v>42005</v>
      </c>
      <c r="AD154" s="154">
        <v>42370</v>
      </c>
      <c r="AE154" s="154">
        <v>42736</v>
      </c>
      <c r="AF154" s="154">
        <v>43101</v>
      </c>
      <c r="AG154" s="154">
        <v>43466</v>
      </c>
      <c r="AH154" s="207">
        <v>43831</v>
      </c>
      <c r="AI154" s="154">
        <v>44197</v>
      </c>
      <c r="AJ154" s="207">
        <v>44562</v>
      </c>
      <c r="AK154" s="154">
        <v>44927</v>
      </c>
      <c r="AL154" s="154">
        <v>45292</v>
      </c>
      <c r="AM154" s="154">
        <v>45658</v>
      </c>
      <c r="AN154" s="154">
        <v>46023</v>
      </c>
      <c r="AO154" s="154">
        <v>46388</v>
      </c>
      <c r="AP154" s="154">
        <v>46753</v>
      </c>
      <c r="AQ154" s="154">
        <v>47119</v>
      </c>
      <c r="AR154" s="154">
        <v>47484</v>
      </c>
    </row>
    <row r="155" spans="2:44" s="149" customFormat="1" outlineLevel="1">
      <c r="B155" s="155" t="s">
        <v>171</v>
      </c>
      <c r="C155" s="184" t="s">
        <v>176</v>
      </c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93"/>
      <c r="AI155" s="166"/>
      <c r="AJ155" s="177"/>
      <c r="AK155" s="166"/>
      <c r="AL155" s="177"/>
      <c r="AM155" s="177">
        <f t="shared" ref="AM155:AR161" si="33">AM179+AM167/1000</f>
        <v>661.64785775032317</v>
      </c>
      <c r="AN155" s="177">
        <f t="shared" si="33"/>
        <v>622.64785775032317</v>
      </c>
      <c r="AO155" s="177">
        <f t="shared" si="33"/>
        <v>583.64785775032317</v>
      </c>
      <c r="AP155" s="177">
        <f t="shared" si="33"/>
        <v>541.64785775032317</v>
      </c>
      <c r="AQ155" s="177">
        <f t="shared" si="33"/>
        <v>500.64785775032306</v>
      </c>
      <c r="AR155" s="177">
        <f t="shared" si="33"/>
        <v>456.64785775032306</v>
      </c>
    </row>
    <row r="156" spans="2:44" s="149" customFormat="1" outlineLevel="1">
      <c r="B156" s="156" t="s">
        <v>8</v>
      </c>
      <c r="C156" s="182" t="s">
        <v>176</v>
      </c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92"/>
      <c r="AI156" s="167"/>
      <c r="AJ156" s="175"/>
      <c r="AK156" s="167"/>
      <c r="AL156" s="175"/>
      <c r="AM156" s="170" t="e">
        <f t="shared" si="33"/>
        <v>#N/A</v>
      </c>
      <c r="AN156" s="170" t="e">
        <f t="shared" si="33"/>
        <v>#N/A</v>
      </c>
      <c r="AO156" s="170" t="e">
        <f t="shared" si="33"/>
        <v>#N/A</v>
      </c>
      <c r="AP156" s="170" t="e">
        <f t="shared" si="33"/>
        <v>#N/A</v>
      </c>
      <c r="AQ156" s="170" t="e">
        <f t="shared" si="33"/>
        <v>#N/A</v>
      </c>
      <c r="AR156" s="170" t="e">
        <f t="shared" si="33"/>
        <v>#N/A</v>
      </c>
    </row>
    <row r="157" spans="2:44" s="149" customFormat="1" outlineLevel="1">
      <c r="B157" s="155" t="s">
        <v>9</v>
      </c>
      <c r="C157" s="184" t="s">
        <v>176</v>
      </c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93"/>
      <c r="AI157" s="166"/>
      <c r="AJ157" s="177"/>
      <c r="AK157" s="166"/>
      <c r="AL157" s="177"/>
      <c r="AM157" s="177">
        <f t="shared" si="33"/>
        <v>164.03206471267103</v>
      </c>
      <c r="AN157" s="177">
        <f t="shared" si="33"/>
        <v>156.03206471267103</v>
      </c>
      <c r="AO157" s="177">
        <f t="shared" si="33"/>
        <v>147.03206471267103</v>
      </c>
      <c r="AP157" s="177">
        <f t="shared" si="33"/>
        <v>139.03206471267103</v>
      </c>
      <c r="AQ157" s="177">
        <f t="shared" si="33"/>
        <v>132.032064712671</v>
      </c>
      <c r="AR157" s="177">
        <f t="shared" si="33"/>
        <v>125.03206471267102</v>
      </c>
    </row>
    <row r="158" spans="2:44" s="149" customFormat="1" outlineLevel="1">
      <c r="B158" s="179" t="s">
        <v>10</v>
      </c>
      <c r="C158" s="182" t="s">
        <v>176</v>
      </c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92"/>
      <c r="AI158" s="167"/>
      <c r="AJ158" s="175"/>
      <c r="AK158" s="167"/>
      <c r="AL158" s="175"/>
      <c r="AM158" s="175">
        <f t="shared" si="33"/>
        <v>90.083224297380468</v>
      </c>
      <c r="AN158" s="175">
        <f t="shared" si="33"/>
        <v>85.083224297380468</v>
      </c>
      <c r="AO158" s="175">
        <f t="shared" si="33"/>
        <v>80.083224297380468</v>
      </c>
      <c r="AP158" s="175">
        <f t="shared" si="33"/>
        <v>75.083224297380468</v>
      </c>
      <c r="AQ158" s="175">
        <f t="shared" si="33"/>
        <v>70.083224297380468</v>
      </c>
      <c r="AR158" s="175">
        <f t="shared" si="33"/>
        <v>65.083224297380468</v>
      </c>
    </row>
    <row r="159" spans="2:44" s="149" customFormat="1" outlineLevel="1">
      <c r="B159" s="155" t="s">
        <v>14</v>
      </c>
      <c r="C159" s="184" t="s">
        <v>176</v>
      </c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93"/>
      <c r="AI159" s="172"/>
      <c r="AJ159" s="177"/>
      <c r="AK159" s="172"/>
      <c r="AL159" s="177"/>
      <c r="AM159" s="177">
        <f t="shared" si="33"/>
        <v>116.76950463502281</v>
      </c>
      <c r="AN159" s="177">
        <f t="shared" si="33"/>
        <v>110.76950463502281</v>
      </c>
      <c r="AO159" s="177">
        <f t="shared" si="33"/>
        <v>105.76950463502281</v>
      </c>
      <c r="AP159" s="177">
        <f t="shared" si="33"/>
        <v>98.769504635022813</v>
      </c>
      <c r="AQ159" s="177">
        <f t="shared" si="33"/>
        <v>89.769504635022813</v>
      </c>
      <c r="AR159" s="177">
        <f t="shared" si="33"/>
        <v>78.769504635022813</v>
      </c>
    </row>
    <row r="160" spans="2:44" s="149" customFormat="1" outlineLevel="1">
      <c r="B160" s="156" t="s">
        <v>15</v>
      </c>
      <c r="C160" s="182" t="s">
        <v>176</v>
      </c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92"/>
      <c r="AI160" s="167"/>
      <c r="AJ160" s="175"/>
      <c r="AK160" s="167"/>
      <c r="AL160" s="175"/>
      <c r="AM160" s="175">
        <f t="shared" si="33"/>
        <v>66.015569987007467</v>
      </c>
      <c r="AN160" s="175">
        <f t="shared" si="33"/>
        <v>65.015569987007467</v>
      </c>
      <c r="AO160" s="175">
        <f t="shared" si="33"/>
        <v>64.015569987007467</v>
      </c>
      <c r="AP160" s="175">
        <f t="shared" si="33"/>
        <v>62.015569987007467</v>
      </c>
      <c r="AQ160" s="175">
        <f t="shared" si="33"/>
        <v>60.015569987007467</v>
      </c>
      <c r="AR160" s="175">
        <f t="shared" si="33"/>
        <v>59.015569987007467</v>
      </c>
    </row>
    <row r="161" spans="2:44" s="149" customFormat="1" outlineLevel="1">
      <c r="B161" s="155" t="s">
        <v>16</v>
      </c>
      <c r="C161" s="184" t="s">
        <v>176</v>
      </c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93"/>
      <c r="AI161" s="166"/>
      <c r="AJ161" s="177"/>
      <c r="AK161" s="166"/>
      <c r="AL161" s="177"/>
      <c r="AM161" s="177">
        <f t="shared" si="33"/>
        <v>8.8463683363844066</v>
      </c>
      <c r="AN161" s="177">
        <f t="shared" si="33"/>
        <v>7.8463683363844066</v>
      </c>
      <c r="AO161" s="177">
        <f t="shared" si="33"/>
        <v>7.8463683363844066</v>
      </c>
      <c r="AP161" s="177">
        <f t="shared" si="33"/>
        <v>6.8463683363844066</v>
      </c>
      <c r="AQ161" s="177">
        <f t="shared" si="33"/>
        <v>6.8463683363844066</v>
      </c>
      <c r="AR161" s="177">
        <f t="shared" si="33"/>
        <v>5.8463683363844066</v>
      </c>
    </row>
    <row r="162" spans="2:44" s="149" customFormat="1" outlineLevel="1">
      <c r="B162" s="156" t="s">
        <v>72</v>
      </c>
      <c r="C162" s="182" t="s">
        <v>176</v>
      </c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81"/>
      <c r="AI162" s="167"/>
      <c r="AJ162" s="181"/>
      <c r="AK162" s="167"/>
      <c r="AL162" s="181"/>
      <c r="AM162" s="167"/>
      <c r="AN162" s="167"/>
      <c r="AO162" s="167"/>
      <c r="AP162" s="167"/>
      <c r="AQ162" s="167"/>
      <c r="AR162" s="167"/>
    </row>
    <row r="163" spans="2:44" s="149" customFormat="1" outlineLevel="1">
      <c r="B163" s="155" t="s">
        <v>8</v>
      </c>
      <c r="C163" s="159" t="s">
        <v>190</v>
      </c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94"/>
      <c r="AI163" s="166"/>
      <c r="AJ163" s="194"/>
      <c r="AK163" s="166"/>
      <c r="AL163" s="166"/>
      <c r="AM163" s="177">
        <f t="shared" ref="AM163:AR163" si="34">AM187+AM175/1000</f>
        <v>215.9636257818569</v>
      </c>
      <c r="AN163" s="177">
        <f t="shared" si="34"/>
        <v>197.3386257818569</v>
      </c>
      <c r="AO163" s="177">
        <f t="shared" si="34"/>
        <v>178.7136257818569</v>
      </c>
      <c r="AP163" s="177">
        <f t="shared" si="34"/>
        <v>160.0886257818569</v>
      </c>
      <c r="AQ163" s="177">
        <f t="shared" si="34"/>
        <v>141.4636257818569</v>
      </c>
      <c r="AR163" s="177">
        <f t="shared" si="34"/>
        <v>122.8386257818569</v>
      </c>
    </row>
    <row r="164" spans="2:44" s="149" customFormat="1" ht="29.25" customHeight="1" outlineLevel="1" thickBot="1">
      <c r="B164" s="153"/>
      <c r="C164" s="160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208"/>
      <c r="AI164" s="209"/>
      <c r="AJ164" s="205"/>
      <c r="AK164" s="206"/>
      <c r="AL164" s="206"/>
      <c r="AM164" s="205" t="s">
        <v>99</v>
      </c>
      <c r="AN164" s="205" t="s">
        <v>99</v>
      </c>
      <c r="AO164" s="205" t="s">
        <v>99</v>
      </c>
      <c r="AP164" s="205" t="s">
        <v>99</v>
      </c>
      <c r="AQ164" s="205" t="s">
        <v>99</v>
      </c>
      <c r="AR164" s="205" t="s">
        <v>99</v>
      </c>
    </row>
    <row r="165" spans="2:44" s="149" customFormat="1" outlineLevel="1">
      <c r="B165" s="173" t="s">
        <v>167</v>
      </c>
      <c r="C165" s="162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  <c r="AJ165" s="165"/>
      <c r="AK165" s="165"/>
      <c r="AL165" s="215" t="s">
        <v>40</v>
      </c>
      <c r="AM165" s="195" t="s">
        <v>157</v>
      </c>
      <c r="AN165" s="165"/>
      <c r="AO165" s="165"/>
      <c r="AP165" s="165"/>
      <c r="AQ165" s="165"/>
      <c r="AR165" s="165"/>
    </row>
    <row r="166" spans="2:44" s="149" customFormat="1" outlineLevel="1">
      <c r="B166" s="150" t="s">
        <v>66</v>
      </c>
      <c r="C166" s="157"/>
      <c r="D166" s="154">
        <v>32874</v>
      </c>
      <c r="E166" s="154">
        <v>33239</v>
      </c>
      <c r="F166" s="154">
        <v>33604</v>
      </c>
      <c r="G166" s="154">
        <v>33970</v>
      </c>
      <c r="H166" s="154">
        <v>34335</v>
      </c>
      <c r="I166" s="154">
        <v>34700</v>
      </c>
      <c r="J166" s="154">
        <v>35065</v>
      </c>
      <c r="K166" s="154">
        <v>35431</v>
      </c>
      <c r="L166" s="154">
        <v>35796</v>
      </c>
      <c r="M166" s="154">
        <v>36161</v>
      </c>
      <c r="N166" s="154">
        <v>36526</v>
      </c>
      <c r="O166" s="154">
        <v>36892</v>
      </c>
      <c r="P166" s="154">
        <v>37257</v>
      </c>
      <c r="Q166" s="154">
        <v>37622</v>
      </c>
      <c r="R166" s="154">
        <v>37987</v>
      </c>
      <c r="S166" s="154">
        <v>38353</v>
      </c>
      <c r="T166" s="154">
        <v>38718</v>
      </c>
      <c r="U166" s="154">
        <v>39083</v>
      </c>
      <c r="V166" s="154">
        <v>39448</v>
      </c>
      <c r="W166" s="154">
        <v>39814</v>
      </c>
      <c r="X166" s="154">
        <v>40179</v>
      </c>
      <c r="Y166" s="154">
        <v>40544</v>
      </c>
      <c r="Z166" s="154">
        <v>40909</v>
      </c>
      <c r="AA166" s="154">
        <v>41275</v>
      </c>
      <c r="AB166" s="154">
        <v>41640</v>
      </c>
      <c r="AC166" s="154">
        <v>42005</v>
      </c>
      <c r="AD166" s="154">
        <v>42370</v>
      </c>
      <c r="AE166" s="154">
        <v>42736</v>
      </c>
      <c r="AF166" s="154">
        <v>43101</v>
      </c>
      <c r="AG166" s="154">
        <v>43466</v>
      </c>
      <c r="AH166" s="154">
        <v>43831</v>
      </c>
      <c r="AI166" s="154">
        <v>44197</v>
      </c>
      <c r="AJ166" s="154">
        <v>44562</v>
      </c>
      <c r="AK166" s="154">
        <v>44927</v>
      </c>
      <c r="AL166" s="174">
        <v>45292</v>
      </c>
      <c r="AM166" s="154">
        <v>45658</v>
      </c>
      <c r="AN166" s="154">
        <v>46023</v>
      </c>
      <c r="AO166" s="154">
        <v>46388</v>
      </c>
      <c r="AP166" s="154">
        <v>46753</v>
      </c>
      <c r="AQ166" s="154">
        <v>47119</v>
      </c>
      <c r="AR166" s="154">
        <v>47484</v>
      </c>
    </row>
    <row r="167" spans="2:44" s="149" customFormat="1" outlineLevel="1">
      <c r="B167" s="155" t="s">
        <v>171</v>
      </c>
      <c r="C167" s="184" t="s">
        <v>139</v>
      </c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85"/>
      <c r="AI167" s="166"/>
      <c r="AJ167" s="166"/>
      <c r="AK167" s="166"/>
      <c r="AL167" s="198">
        <f>IF(AL$35&gt;0,(AL$35-AL179)*1000,0)</f>
        <v>-43610.005164309317</v>
      </c>
      <c r="AM167" s="171">
        <f t="shared" ref="AM167:AR167" si="35">-$AL167/6</f>
        <v>7268.3341940515529</v>
      </c>
      <c r="AN167" s="171">
        <f t="shared" si="35"/>
        <v>7268.3341940515529</v>
      </c>
      <c r="AO167" s="171">
        <f t="shared" si="35"/>
        <v>7268.3341940515529</v>
      </c>
      <c r="AP167" s="171">
        <f t="shared" si="35"/>
        <v>7268.3341940515529</v>
      </c>
      <c r="AQ167" s="171">
        <f t="shared" si="35"/>
        <v>7268.3341940515529</v>
      </c>
      <c r="AR167" s="171">
        <f t="shared" si="35"/>
        <v>7268.3341940515529</v>
      </c>
    </row>
    <row r="168" spans="2:44" s="149" customFormat="1" outlineLevel="1">
      <c r="B168" s="156" t="s">
        <v>8</v>
      </c>
      <c r="C168" s="182" t="s">
        <v>139</v>
      </c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83"/>
      <c r="AI168" s="167"/>
      <c r="AJ168" s="167"/>
      <c r="AK168" s="167"/>
      <c r="AL168" s="198" t="e">
        <f t="shared" ref="AL168" si="36">(AL36-AL180)*1000</f>
        <v>#N/A</v>
      </c>
      <c r="AM168" s="203" t="e">
        <v>#N/A</v>
      </c>
      <c r="AN168" s="203" t="e">
        <v>#N/A</v>
      </c>
      <c r="AO168" s="203" t="e">
        <v>#N/A</v>
      </c>
      <c r="AP168" s="203" t="e">
        <v>#N/A</v>
      </c>
      <c r="AQ168" s="203" t="e">
        <v>#N/A</v>
      </c>
      <c r="AR168" s="203" t="e">
        <f>-$AL168/6</f>
        <v>#N/A</v>
      </c>
    </row>
    <row r="169" spans="2:44" s="149" customFormat="1" outlineLevel="1">
      <c r="B169" s="155" t="s">
        <v>9</v>
      </c>
      <c r="C169" s="184" t="s">
        <v>139</v>
      </c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85"/>
      <c r="AI169" s="166"/>
      <c r="AJ169" s="166"/>
      <c r="AK169" s="166"/>
      <c r="AL169" s="198">
        <f>IF(AL$37&gt;0,(AL$37-AL181)*1000,0)</f>
        <v>-19084.234105772877</v>
      </c>
      <c r="AM169" s="171">
        <f>-$AL169/6</f>
        <v>3180.7056842954794</v>
      </c>
      <c r="AN169" s="171">
        <f t="shared" ref="AN169:AR175" si="37">-$AL169/6</f>
        <v>3180.7056842954794</v>
      </c>
      <c r="AO169" s="171">
        <f t="shared" si="37"/>
        <v>3180.7056842954794</v>
      </c>
      <c r="AP169" s="171">
        <f t="shared" si="37"/>
        <v>3180.7056842954794</v>
      </c>
      <c r="AQ169" s="171">
        <f t="shared" si="37"/>
        <v>3180.7056842954794</v>
      </c>
      <c r="AR169" s="171">
        <f t="shared" si="37"/>
        <v>3180.7056842954794</v>
      </c>
    </row>
    <row r="170" spans="2:44" s="149" customFormat="1" outlineLevel="1">
      <c r="B170" s="179" t="s">
        <v>10</v>
      </c>
      <c r="C170" s="182" t="s">
        <v>139</v>
      </c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83"/>
      <c r="AI170" s="167"/>
      <c r="AJ170" s="167"/>
      <c r="AK170" s="167"/>
      <c r="AL170" s="198">
        <f>IF(AL$38&gt;0,(AL$38-AL182)*1000,0)</f>
        <v>4212.6890106657129</v>
      </c>
      <c r="AM170" s="170">
        <f>-$AL170/6</f>
        <v>-702.11483511095219</v>
      </c>
      <c r="AN170" s="170">
        <f t="shared" si="37"/>
        <v>-702.11483511095219</v>
      </c>
      <c r="AO170" s="170">
        <f t="shared" si="37"/>
        <v>-702.11483511095219</v>
      </c>
      <c r="AP170" s="170">
        <f t="shared" si="37"/>
        <v>-702.11483511095219</v>
      </c>
      <c r="AQ170" s="170">
        <f t="shared" si="37"/>
        <v>-702.11483511095219</v>
      </c>
      <c r="AR170" s="170">
        <f t="shared" si="37"/>
        <v>-702.11483511095219</v>
      </c>
    </row>
    <row r="171" spans="2:44" s="149" customFormat="1" outlineLevel="1">
      <c r="B171" s="155" t="s">
        <v>14</v>
      </c>
      <c r="C171" s="184" t="s">
        <v>139</v>
      </c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85"/>
      <c r="AI171" s="172"/>
      <c r="AJ171" s="172"/>
      <c r="AK171" s="172"/>
      <c r="AL171" s="198">
        <f>IF(AL$39&gt;0,(AL$39-AL183)*1000,0)</f>
        <v>19210.990809905597</v>
      </c>
      <c r="AM171" s="171">
        <f t="shared" ref="AM171:AM173" si="38">-$AL171/6</f>
        <v>-3201.8318016509329</v>
      </c>
      <c r="AN171" s="171">
        <f t="shared" si="37"/>
        <v>-3201.8318016509329</v>
      </c>
      <c r="AO171" s="171">
        <f t="shared" si="37"/>
        <v>-3201.8318016509329</v>
      </c>
      <c r="AP171" s="171">
        <f t="shared" si="37"/>
        <v>-3201.8318016509329</v>
      </c>
      <c r="AQ171" s="171">
        <f t="shared" si="37"/>
        <v>-3201.8318016509329</v>
      </c>
      <c r="AR171" s="171">
        <f t="shared" si="37"/>
        <v>-3201.8318016509329</v>
      </c>
    </row>
    <row r="172" spans="2:44" s="149" customFormat="1" outlineLevel="1">
      <c r="B172" s="156" t="s">
        <v>15</v>
      </c>
      <c r="C172" s="182" t="s">
        <v>139</v>
      </c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83"/>
      <c r="AI172" s="167"/>
      <c r="AJ172" s="167"/>
      <c r="AK172" s="167"/>
      <c r="AL172" s="198">
        <f>IF(AL$40&gt;0,(AL$40-AL184)*1000,0)</f>
        <v>-6145.2287333814656</v>
      </c>
      <c r="AM172" s="170">
        <f t="shared" si="38"/>
        <v>1024.2047888969109</v>
      </c>
      <c r="AN172" s="170">
        <f t="shared" si="37"/>
        <v>1024.2047888969109</v>
      </c>
      <c r="AO172" s="170">
        <f t="shared" si="37"/>
        <v>1024.2047888969109</v>
      </c>
      <c r="AP172" s="170">
        <f t="shared" si="37"/>
        <v>1024.2047888969109</v>
      </c>
      <c r="AQ172" s="170">
        <f t="shared" si="37"/>
        <v>1024.2047888969109</v>
      </c>
      <c r="AR172" s="170">
        <f t="shared" si="37"/>
        <v>1024.2047888969109</v>
      </c>
    </row>
    <row r="173" spans="2:44" s="149" customFormat="1" outlineLevel="1">
      <c r="B173" s="155" t="s">
        <v>16</v>
      </c>
      <c r="C173" s="184" t="s">
        <v>139</v>
      </c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85"/>
      <c r="AI173" s="166"/>
      <c r="AJ173" s="166"/>
      <c r="AK173" s="166"/>
      <c r="AL173" s="198">
        <f>IF(AL$41&gt;0,(AL$41-AL185)*1000,0)</f>
        <v>-3059.1929458026852</v>
      </c>
      <c r="AM173" s="171">
        <f t="shared" si="38"/>
        <v>509.86549096711423</v>
      </c>
      <c r="AN173" s="171">
        <f t="shared" si="37"/>
        <v>509.86549096711423</v>
      </c>
      <c r="AO173" s="171">
        <f t="shared" si="37"/>
        <v>509.86549096711423</v>
      </c>
      <c r="AP173" s="171">
        <f t="shared" si="37"/>
        <v>509.86549096711423</v>
      </c>
      <c r="AQ173" s="171">
        <f t="shared" si="37"/>
        <v>509.86549096711423</v>
      </c>
      <c r="AR173" s="171">
        <f t="shared" si="37"/>
        <v>509.86549096711423</v>
      </c>
    </row>
    <row r="174" spans="2:44" s="149" customFormat="1" outlineLevel="1">
      <c r="B174" s="156" t="s">
        <v>72</v>
      </c>
      <c r="C174" s="182" t="s">
        <v>139</v>
      </c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80"/>
      <c r="AM174" s="167"/>
      <c r="AN174" s="167"/>
      <c r="AO174" s="167"/>
      <c r="AP174" s="167"/>
      <c r="AQ174" s="167"/>
      <c r="AR174" s="167"/>
    </row>
    <row r="175" spans="2:44" s="149" customFormat="1" ht="15.75" outlineLevel="1" thickBot="1">
      <c r="B175" s="155" t="s">
        <v>8</v>
      </c>
      <c r="C175" s="159" t="s">
        <v>190</v>
      </c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99">
        <f>IF(AL$36&gt;0,(AL$36-AL187)*1000,0)</f>
        <v>-38477.172057066295</v>
      </c>
      <c r="AM175" s="171">
        <f>-$AL175/6</f>
        <v>6412.8620095110491</v>
      </c>
      <c r="AN175" s="171">
        <f t="shared" si="37"/>
        <v>6412.8620095110491</v>
      </c>
      <c r="AO175" s="171">
        <f t="shared" si="37"/>
        <v>6412.8620095110491</v>
      </c>
      <c r="AP175" s="171">
        <f t="shared" si="37"/>
        <v>6412.8620095110491</v>
      </c>
      <c r="AQ175" s="171">
        <f t="shared" si="37"/>
        <v>6412.8620095110491</v>
      </c>
      <c r="AR175" s="171">
        <f t="shared" si="37"/>
        <v>6412.8620095110491</v>
      </c>
    </row>
    <row r="176" spans="2:44" s="149" customFormat="1" outlineLevel="1">
      <c r="B176" s="151"/>
      <c r="C176" s="162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204"/>
      <c r="AK176" s="165"/>
      <c r="AL176" s="204"/>
      <c r="AM176" s="204" t="s">
        <v>99</v>
      </c>
      <c r="AN176" s="204" t="s">
        <v>99</v>
      </c>
      <c r="AO176" s="204" t="s">
        <v>99</v>
      </c>
      <c r="AP176" s="204" t="s">
        <v>99</v>
      </c>
      <c r="AQ176" s="204" t="s">
        <v>99</v>
      </c>
      <c r="AR176" s="204" t="s">
        <v>99</v>
      </c>
    </row>
    <row r="177" spans="2:44" s="149" customFormat="1">
      <c r="B177" s="173" t="s">
        <v>168</v>
      </c>
      <c r="C177" s="162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91"/>
      <c r="AJ177" s="195"/>
      <c r="AK177" s="165"/>
      <c r="AL177" s="165"/>
      <c r="AM177" s="165"/>
      <c r="AN177" s="165"/>
      <c r="AO177" s="165"/>
      <c r="AP177" s="165"/>
      <c r="AQ177" s="165"/>
      <c r="AR177" s="165"/>
    </row>
    <row r="178" spans="2:44" s="149" customFormat="1">
      <c r="B178" s="150" t="s">
        <v>66</v>
      </c>
      <c r="C178" s="157"/>
      <c r="D178" s="154">
        <v>32874</v>
      </c>
      <c r="E178" s="154">
        <v>33239</v>
      </c>
      <c r="F178" s="154">
        <v>33604</v>
      </c>
      <c r="G178" s="154">
        <v>33970</v>
      </c>
      <c r="H178" s="154">
        <v>34335</v>
      </c>
      <c r="I178" s="154">
        <v>34700</v>
      </c>
      <c r="J178" s="154">
        <v>35065</v>
      </c>
      <c r="K178" s="154">
        <v>35431</v>
      </c>
      <c r="L178" s="154">
        <v>35796</v>
      </c>
      <c r="M178" s="154">
        <v>36161</v>
      </c>
      <c r="N178" s="154">
        <v>36526</v>
      </c>
      <c r="O178" s="154">
        <v>36892</v>
      </c>
      <c r="P178" s="154">
        <v>37257</v>
      </c>
      <c r="Q178" s="154">
        <v>37622</v>
      </c>
      <c r="R178" s="154">
        <v>37987</v>
      </c>
      <c r="S178" s="154">
        <v>38353</v>
      </c>
      <c r="T178" s="154">
        <v>38718</v>
      </c>
      <c r="U178" s="154">
        <v>39083</v>
      </c>
      <c r="V178" s="154">
        <v>39448</v>
      </c>
      <c r="W178" s="154">
        <v>39814</v>
      </c>
      <c r="X178" s="154">
        <v>40179</v>
      </c>
      <c r="Y178" s="154">
        <v>40544</v>
      </c>
      <c r="Z178" s="154">
        <v>40909</v>
      </c>
      <c r="AA178" s="154">
        <v>41275</v>
      </c>
      <c r="AB178" s="154">
        <v>41640</v>
      </c>
      <c r="AC178" s="154">
        <v>42005</v>
      </c>
      <c r="AD178" s="154">
        <v>42370</v>
      </c>
      <c r="AE178" s="154">
        <v>42736</v>
      </c>
      <c r="AF178" s="154">
        <v>43101</v>
      </c>
      <c r="AG178" s="154">
        <v>43466</v>
      </c>
      <c r="AH178" s="207">
        <v>43831</v>
      </c>
      <c r="AI178" s="154">
        <v>44197</v>
      </c>
      <c r="AJ178" s="207">
        <v>44562</v>
      </c>
      <c r="AK178" s="154">
        <v>44927</v>
      </c>
      <c r="AL178" s="154">
        <v>45292</v>
      </c>
      <c r="AM178" s="154">
        <v>45658</v>
      </c>
      <c r="AN178" s="154">
        <v>46023</v>
      </c>
      <c r="AO178" s="154">
        <v>46388</v>
      </c>
      <c r="AP178" s="154">
        <v>46753</v>
      </c>
      <c r="AQ178" s="154">
        <v>47119</v>
      </c>
      <c r="AR178" s="154">
        <v>47484</v>
      </c>
    </row>
    <row r="179" spans="2:44" s="149" customFormat="1">
      <c r="B179" s="155" t="s">
        <v>171</v>
      </c>
      <c r="C179" s="184" t="s">
        <v>182</v>
      </c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93"/>
      <c r="AI179" s="166"/>
      <c r="AJ179" s="177"/>
      <c r="AK179" s="177"/>
      <c r="AL179" s="193">
        <f t="shared" ref="AL179:AR179" si="39">AL203+AL191/1000</f>
        <v>693.37952355627158</v>
      </c>
      <c r="AM179" s="193">
        <f t="shared" si="39"/>
        <v>654.37952355627158</v>
      </c>
      <c r="AN179" s="193">
        <f t="shared" si="39"/>
        <v>615.37952355627158</v>
      </c>
      <c r="AO179" s="193">
        <f t="shared" si="39"/>
        <v>576.37952355627158</v>
      </c>
      <c r="AP179" s="193">
        <f t="shared" si="39"/>
        <v>534.37952355627158</v>
      </c>
      <c r="AQ179" s="193">
        <f t="shared" si="39"/>
        <v>493.37952355627152</v>
      </c>
      <c r="AR179" s="193">
        <f t="shared" si="39"/>
        <v>449.37952355627152</v>
      </c>
    </row>
    <row r="180" spans="2:44" s="149" customFormat="1">
      <c r="B180" s="156" t="s">
        <v>8</v>
      </c>
      <c r="C180" s="182" t="s">
        <v>175</v>
      </c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92"/>
      <c r="AI180" s="167"/>
      <c r="AJ180" s="175"/>
      <c r="AK180" s="175"/>
      <c r="AL180" s="192" t="e">
        <f t="shared" ref="AL180:AR180" si="40">AL216+AL192/1000</f>
        <v>#N/A</v>
      </c>
      <c r="AM180" s="192" t="e">
        <f t="shared" si="40"/>
        <v>#N/A</v>
      </c>
      <c r="AN180" s="192" t="e">
        <f t="shared" si="40"/>
        <v>#N/A</v>
      </c>
      <c r="AO180" s="192" t="e">
        <f t="shared" si="40"/>
        <v>#N/A</v>
      </c>
      <c r="AP180" s="192" t="e">
        <f t="shared" si="40"/>
        <v>#N/A</v>
      </c>
      <c r="AQ180" s="192" t="e">
        <f t="shared" si="40"/>
        <v>#N/A</v>
      </c>
      <c r="AR180" s="192" t="e">
        <f t="shared" si="40"/>
        <v>#N/A</v>
      </c>
    </row>
    <row r="181" spans="2:44" s="149" customFormat="1">
      <c r="B181" s="155" t="s">
        <v>9</v>
      </c>
      <c r="C181" s="184" t="s">
        <v>175</v>
      </c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93"/>
      <c r="AI181" s="166"/>
      <c r="AJ181" s="177"/>
      <c r="AK181" s="177"/>
      <c r="AL181" s="193">
        <f>AL205+AL193/1000</f>
        <v>168.85135902837555</v>
      </c>
      <c r="AM181" s="193">
        <f>AM205+AM193/1000</f>
        <v>160.85135902837555</v>
      </c>
      <c r="AN181" s="193">
        <f>AN205+AN193/1000</f>
        <v>152.85135902837555</v>
      </c>
      <c r="AO181" s="193">
        <f t="shared" ref="AO181:AR181" si="41">AO205+AO193/1000</f>
        <v>143.85135902837555</v>
      </c>
      <c r="AP181" s="193">
        <f t="shared" si="41"/>
        <v>135.85135902837555</v>
      </c>
      <c r="AQ181" s="193">
        <f t="shared" si="41"/>
        <v>128.85135902837553</v>
      </c>
      <c r="AR181" s="193">
        <f t="shared" si="41"/>
        <v>121.85135902837554</v>
      </c>
    </row>
    <row r="182" spans="2:44" s="149" customFormat="1">
      <c r="B182" s="179" t="s">
        <v>10</v>
      </c>
      <c r="C182" s="182" t="s">
        <v>175</v>
      </c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92"/>
      <c r="AI182" s="167"/>
      <c r="AJ182" s="175"/>
      <c r="AK182" s="175"/>
      <c r="AL182" s="192">
        <f t="shared" ref="AL182:AM185" si="42">AL206+AL194/1000</f>
        <v>95.785339132491416</v>
      </c>
      <c r="AM182" s="192">
        <f t="shared" si="42"/>
        <v>90.785339132491416</v>
      </c>
      <c r="AN182" s="192">
        <f t="shared" ref="AN182:AR182" si="43">AN206+AN194/1000</f>
        <v>85.785339132491416</v>
      </c>
      <c r="AO182" s="192">
        <f t="shared" si="43"/>
        <v>80.785339132491416</v>
      </c>
      <c r="AP182" s="192">
        <f t="shared" si="43"/>
        <v>75.785339132491416</v>
      </c>
      <c r="AQ182" s="192">
        <f t="shared" si="43"/>
        <v>70.785339132491416</v>
      </c>
      <c r="AR182" s="192">
        <f t="shared" si="43"/>
        <v>65.785339132491416</v>
      </c>
    </row>
    <row r="183" spans="2:44" s="149" customFormat="1">
      <c r="B183" s="155" t="s">
        <v>14</v>
      </c>
      <c r="C183" s="184" t="s">
        <v>175</v>
      </c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93"/>
      <c r="AI183" s="172"/>
      <c r="AJ183" s="177"/>
      <c r="AK183" s="177"/>
      <c r="AL183" s="193">
        <f t="shared" si="42"/>
        <v>124.97133643667375</v>
      </c>
      <c r="AM183" s="193">
        <f t="shared" si="42"/>
        <v>119.97133643667375</v>
      </c>
      <c r="AN183" s="193">
        <f t="shared" ref="AN183:AR185" si="44">AN207+AN195/1000</f>
        <v>113.97133643667375</v>
      </c>
      <c r="AO183" s="193">
        <f t="shared" si="44"/>
        <v>108.97133643667375</v>
      </c>
      <c r="AP183" s="193">
        <f t="shared" si="44"/>
        <v>101.97133643667375</v>
      </c>
      <c r="AQ183" s="193">
        <f t="shared" si="44"/>
        <v>92.971336436673752</v>
      </c>
      <c r="AR183" s="193">
        <f t="shared" si="44"/>
        <v>81.971336436673752</v>
      </c>
    </row>
    <row r="184" spans="2:44" s="149" customFormat="1">
      <c r="B184" s="156" t="s">
        <v>15</v>
      </c>
      <c r="C184" s="182" t="s">
        <v>175</v>
      </c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92"/>
      <c r="AI184" s="167"/>
      <c r="AJ184" s="175"/>
      <c r="AK184" s="175"/>
      <c r="AL184" s="192">
        <f t="shared" si="42"/>
        <v>66.991365198110572</v>
      </c>
      <c r="AM184" s="192">
        <f t="shared" si="42"/>
        <v>64.991365198110557</v>
      </c>
      <c r="AN184" s="192">
        <f t="shared" si="44"/>
        <v>63.991365198110557</v>
      </c>
      <c r="AO184" s="192">
        <f t="shared" si="44"/>
        <v>62.991365198110557</v>
      </c>
      <c r="AP184" s="192">
        <f t="shared" si="44"/>
        <v>60.991365198110557</v>
      </c>
      <c r="AQ184" s="192">
        <f t="shared" si="44"/>
        <v>58.991365198110557</v>
      </c>
      <c r="AR184" s="192">
        <f t="shared" si="44"/>
        <v>57.991365198110557</v>
      </c>
    </row>
    <row r="185" spans="2:44" s="149" customFormat="1">
      <c r="B185" s="155" t="s">
        <v>16</v>
      </c>
      <c r="C185" s="184" t="s">
        <v>175</v>
      </c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93"/>
      <c r="AI185" s="166"/>
      <c r="AJ185" s="177"/>
      <c r="AK185" s="177"/>
      <c r="AL185" s="193">
        <f t="shared" si="42"/>
        <v>8.3365028454172929</v>
      </c>
      <c r="AM185" s="193">
        <f t="shared" si="42"/>
        <v>8.3365028454172929</v>
      </c>
      <c r="AN185" s="193">
        <f t="shared" si="44"/>
        <v>7.336502845417292</v>
      </c>
      <c r="AO185" s="193">
        <f t="shared" si="44"/>
        <v>7.336502845417292</v>
      </c>
      <c r="AP185" s="193">
        <f t="shared" si="44"/>
        <v>6.336502845417292</v>
      </c>
      <c r="AQ185" s="193">
        <f t="shared" si="44"/>
        <v>6.336502845417292</v>
      </c>
      <c r="AR185" s="193">
        <f t="shared" si="44"/>
        <v>5.336502845417292</v>
      </c>
    </row>
    <row r="186" spans="2:44" s="149" customFormat="1">
      <c r="B186" s="156" t="s">
        <v>72</v>
      </c>
      <c r="C186" s="182" t="s">
        <v>175</v>
      </c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81"/>
      <c r="AI186" s="167"/>
      <c r="AJ186" s="181"/>
      <c r="AK186" s="181"/>
      <c r="AL186" s="181"/>
      <c r="AM186" s="181"/>
      <c r="AN186" s="181"/>
      <c r="AO186" s="181"/>
      <c r="AP186" s="181"/>
      <c r="AQ186" s="181"/>
      <c r="AR186" s="181"/>
    </row>
    <row r="187" spans="2:44" s="149" customFormat="1">
      <c r="B187" s="155" t="s">
        <v>8</v>
      </c>
      <c r="C187" s="159" t="s">
        <v>190</v>
      </c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94"/>
      <c r="AI187" s="166"/>
      <c r="AJ187" s="194"/>
      <c r="AK187" s="166"/>
      <c r="AL187" s="193">
        <f>AL211+AL199/1000</f>
        <v>228.17576377234585</v>
      </c>
      <c r="AM187" s="193">
        <f>AM211+AM199/1000</f>
        <v>209.55076377234585</v>
      </c>
      <c r="AN187" s="193">
        <f>AN211+AN199/1000</f>
        <v>190.92576377234585</v>
      </c>
      <c r="AO187" s="193">
        <f t="shared" ref="AO187:AR187" si="45">AO211+AO199/1000</f>
        <v>172.30076377234585</v>
      </c>
      <c r="AP187" s="193">
        <f t="shared" si="45"/>
        <v>153.67576377234585</v>
      </c>
      <c r="AQ187" s="193">
        <f t="shared" si="45"/>
        <v>135.05076377234585</v>
      </c>
      <c r="AR187" s="193">
        <f t="shared" si="45"/>
        <v>116.42576377234586</v>
      </c>
    </row>
    <row r="188" spans="2:44" s="149" customFormat="1" ht="29.25" customHeight="1" thickBot="1">
      <c r="B188" s="153"/>
      <c r="C188" s="160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208"/>
      <c r="AI188" s="209"/>
      <c r="AJ188" s="205"/>
      <c r="AK188" s="206"/>
      <c r="AL188" s="206"/>
      <c r="AM188" s="205" t="s">
        <v>99</v>
      </c>
      <c r="AN188" s="205" t="s">
        <v>99</v>
      </c>
      <c r="AO188" s="205" t="s">
        <v>99</v>
      </c>
      <c r="AP188" s="205" t="s">
        <v>99</v>
      </c>
      <c r="AQ188" s="205" t="s">
        <v>99</v>
      </c>
      <c r="AR188" s="205" t="s">
        <v>99</v>
      </c>
    </row>
    <row r="189" spans="2:44" s="149" customFormat="1">
      <c r="B189" s="173" t="s">
        <v>169</v>
      </c>
      <c r="C189" s="162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97" t="s">
        <v>40</v>
      </c>
      <c r="AL189" s="195" t="s">
        <v>157</v>
      </c>
      <c r="AM189" s="195"/>
      <c r="AN189" s="165"/>
      <c r="AO189" s="165"/>
      <c r="AP189" s="165"/>
      <c r="AQ189" s="165"/>
      <c r="AR189" s="165"/>
    </row>
    <row r="190" spans="2:44" s="149" customFormat="1">
      <c r="B190" s="150" t="s">
        <v>66</v>
      </c>
      <c r="C190" s="157"/>
      <c r="D190" s="154">
        <v>32874</v>
      </c>
      <c r="E190" s="154">
        <v>33239</v>
      </c>
      <c r="F190" s="154">
        <v>33604</v>
      </c>
      <c r="G190" s="154">
        <v>33970</v>
      </c>
      <c r="H190" s="154">
        <v>34335</v>
      </c>
      <c r="I190" s="154">
        <v>34700</v>
      </c>
      <c r="J190" s="154">
        <v>35065</v>
      </c>
      <c r="K190" s="154">
        <v>35431</v>
      </c>
      <c r="L190" s="154">
        <v>35796</v>
      </c>
      <c r="M190" s="154">
        <v>36161</v>
      </c>
      <c r="N190" s="154">
        <v>36526</v>
      </c>
      <c r="O190" s="154">
        <v>36892</v>
      </c>
      <c r="P190" s="154">
        <v>37257</v>
      </c>
      <c r="Q190" s="154">
        <v>37622</v>
      </c>
      <c r="R190" s="154">
        <v>37987</v>
      </c>
      <c r="S190" s="154">
        <v>38353</v>
      </c>
      <c r="T190" s="154">
        <v>38718</v>
      </c>
      <c r="U190" s="154">
        <v>39083</v>
      </c>
      <c r="V190" s="154">
        <v>39448</v>
      </c>
      <c r="W190" s="154">
        <v>39814</v>
      </c>
      <c r="X190" s="154">
        <v>40179</v>
      </c>
      <c r="Y190" s="154">
        <v>40544</v>
      </c>
      <c r="Z190" s="154">
        <v>40909</v>
      </c>
      <c r="AA190" s="154">
        <v>41275</v>
      </c>
      <c r="AB190" s="154">
        <v>41640</v>
      </c>
      <c r="AC190" s="154">
        <v>42005</v>
      </c>
      <c r="AD190" s="154">
        <v>42370</v>
      </c>
      <c r="AE190" s="154">
        <v>42736</v>
      </c>
      <c r="AF190" s="154">
        <v>43101</v>
      </c>
      <c r="AG190" s="154">
        <v>43466</v>
      </c>
      <c r="AH190" s="154">
        <v>43831</v>
      </c>
      <c r="AI190" s="154">
        <v>44197</v>
      </c>
      <c r="AJ190" s="154">
        <v>44562</v>
      </c>
      <c r="AK190" s="174">
        <v>44927</v>
      </c>
      <c r="AL190" s="154">
        <v>45292</v>
      </c>
      <c r="AM190" s="154">
        <v>45658</v>
      </c>
      <c r="AN190" s="154">
        <v>46023</v>
      </c>
      <c r="AO190" s="154">
        <v>46388</v>
      </c>
      <c r="AP190" s="154">
        <v>46753</v>
      </c>
      <c r="AQ190" s="154">
        <v>47119</v>
      </c>
      <c r="AR190" s="154">
        <v>47484</v>
      </c>
    </row>
    <row r="191" spans="2:44" s="149" customFormat="1">
      <c r="B191" s="155" t="s">
        <v>171</v>
      </c>
      <c r="C191" s="184" t="s">
        <v>139</v>
      </c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85"/>
      <c r="AI191" s="166"/>
      <c r="AJ191" s="166"/>
      <c r="AK191" s="198">
        <f>IF(AK$35&gt;0,(AK$35-AK203)*1000,0)</f>
        <v>-51939.299150092782</v>
      </c>
      <c r="AL191" s="200">
        <f>-$AK191/7</f>
        <v>7419.8998785846834</v>
      </c>
      <c r="AM191" s="200">
        <f t="shared" ref="AM191:AR191" si="46">-$AK191/7</f>
        <v>7419.8998785846834</v>
      </c>
      <c r="AN191" s="200">
        <f t="shared" si="46"/>
        <v>7419.8998785846834</v>
      </c>
      <c r="AO191" s="200">
        <f t="shared" si="46"/>
        <v>7419.8998785846834</v>
      </c>
      <c r="AP191" s="200">
        <f t="shared" si="46"/>
        <v>7419.8998785846834</v>
      </c>
      <c r="AQ191" s="200">
        <f t="shared" si="46"/>
        <v>7419.8998785846834</v>
      </c>
      <c r="AR191" s="200">
        <f t="shared" si="46"/>
        <v>7419.8998785846834</v>
      </c>
    </row>
    <row r="192" spans="2:44" s="149" customFormat="1">
      <c r="B192" s="156" t="s">
        <v>8</v>
      </c>
      <c r="C192" s="182" t="s">
        <v>139</v>
      </c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83"/>
      <c r="AI192" s="167"/>
      <c r="AJ192" s="167"/>
      <c r="AK192" s="198" t="e">
        <f>(AK36-AK216)*1000</f>
        <v>#N/A</v>
      </c>
      <c r="AL192" s="196" t="e">
        <v>#N/A</v>
      </c>
      <c r="AM192" s="170" t="e">
        <v>#N/A</v>
      </c>
      <c r="AN192" s="170" t="e">
        <v>#N/A</v>
      </c>
      <c r="AO192" s="170" t="e">
        <v>#N/A</v>
      </c>
      <c r="AP192" s="170" t="e">
        <v>#N/A</v>
      </c>
      <c r="AQ192" s="170" t="e">
        <v>#N/A</v>
      </c>
      <c r="AR192" s="170" t="e">
        <f>-$AK192/7</f>
        <v>#N/A</v>
      </c>
    </row>
    <row r="193" spans="2:44" s="149" customFormat="1">
      <c r="B193" s="155" t="s">
        <v>9</v>
      </c>
      <c r="C193" s="184" t="s">
        <v>139</v>
      </c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85"/>
      <c r="AI193" s="166"/>
      <c r="AJ193" s="166"/>
      <c r="AK193" s="198">
        <f>IF(AK$37&gt;0,(AK$37-AK205)*1000,0)</f>
        <v>-20061.667811636995</v>
      </c>
      <c r="AL193" s="200">
        <f>-$AK193/7</f>
        <v>2865.9525445195709</v>
      </c>
      <c r="AM193" s="171">
        <f t="shared" ref="AM193:AR199" si="47">-$AK193/7</f>
        <v>2865.9525445195709</v>
      </c>
      <c r="AN193" s="171">
        <f t="shared" si="47"/>
        <v>2865.9525445195709</v>
      </c>
      <c r="AO193" s="171">
        <f t="shared" si="47"/>
        <v>2865.9525445195709</v>
      </c>
      <c r="AP193" s="171">
        <f t="shared" si="47"/>
        <v>2865.9525445195709</v>
      </c>
      <c r="AQ193" s="171">
        <f t="shared" si="47"/>
        <v>2865.9525445195709</v>
      </c>
      <c r="AR193" s="171">
        <f t="shared" si="47"/>
        <v>2865.9525445195709</v>
      </c>
    </row>
    <row r="194" spans="2:44" s="149" customFormat="1">
      <c r="B194" s="179" t="s">
        <v>10</v>
      </c>
      <c r="C194" s="182" t="s">
        <v>139</v>
      </c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83"/>
      <c r="AI194" s="167"/>
      <c r="AJ194" s="167"/>
      <c r="AK194" s="198">
        <f>IF(AK$38&gt;0,(AK$38-AK206)*1000,0)</f>
        <v>1879.2034329368903</v>
      </c>
      <c r="AL194" s="196">
        <f t="shared" ref="AL194:AL197" si="48">-$AK194/7</f>
        <v>-268.45763327669863</v>
      </c>
      <c r="AM194" s="170">
        <f t="shared" si="47"/>
        <v>-268.45763327669863</v>
      </c>
      <c r="AN194" s="170">
        <f t="shared" si="47"/>
        <v>-268.45763327669863</v>
      </c>
      <c r="AO194" s="170">
        <f t="shared" si="47"/>
        <v>-268.45763327669863</v>
      </c>
      <c r="AP194" s="170">
        <f t="shared" si="47"/>
        <v>-268.45763327669863</v>
      </c>
      <c r="AQ194" s="170">
        <f t="shared" si="47"/>
        <v>-268.45763327669863</v>
      </c>
      <c r="AR194" s="170">
        <f t="shared" si="47"/>
        <v>-268.45763327669863</v>
      </c>
    </row>
    <row r="195" spans="2:44" s="149" customFormat="1">
      <c r="B195" s="155" t="s">
        <v>14</v>
      </c>
      <c r="C195" s="184" t="s">
        <v>139</v>
      </c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85"/>
      <c r="AI195" s="172"/>
      <c r="AJ195" s="172"/>
      <c r="AK195" s="198">
        <f>IF(AK$39&gt;0,(AK$39-AK207)*1000,0)</f>
        <v>12389.844417871587</v>
      </c>
      <c r="AL195" s="200">
        <f>-$AK195/7</f>
        <v>-1769.9777739816552</v>
      </c>
      <c r="AM195" s="171">
        <f t="shared" si="47"/>
        <v>-1769.9777739816552</v>
      </c>
      <c r="AN195" s="171">
        <f t="shared" si="47"/>
        <v>-1769.9777739816552</v>
      </c>
      <c r="AO195" s="171">
        <f t="shared" si="47"/>
        <v>-1769.9777739816552</v>
      </c>
      <c r="AP195" s="171">
        <f t="shared" si="47"/>
        <v>-1769.9777739816552</v>
      </c>
      <c r="AQ195" s="171">
        <f t="shared" si="47"/>
        <v>-1769.9777739816552</v>
      </c>
      <c r="AR195" s="171">
        <f t="shared" si="47"/>
        <v>-1769.9777739816552</v>
      </c>
    </row>
    <row r="196" spans="2:44" s="149" customFormat="1">
      <c r="B196" s="156" t="s">
        <v>15</v>
      </c>
      <c r="C196" s="182" t="s">
        <v>139</v>
      </c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83"/>
      <c r="AI196" s="167"/>
      <c r="AJ196" s="167"/>
      <c r="AK196" s="198">
        <f>IF(AK$40&gt;0,(AK$40-AK208)*1000,0)</f>
        <v>-4402.4561957360011</v>
      </c>
      <c r="AL196" s="196">
        <f t="shared" si="48"/>
        <v>628.92231367657155</v>
      </c>
      <c r="AM196" s="170">
        <f t="shared" si="47"/>
        <v>628.92231367657155</v>
      </c>
      <c r="AN196" s="170">
        <f t="shared" si="47"/>
        <v>628.92231367657155</v>
      </c>
      <c r="AO196" s="170">
        <f t="shared" si="47"/>
        <v>628.92231367657155</v>
      </c>
      <c r="AP196" s="170">
        <f t="shared" si="47"/>
        <v>628.92231367657155</v>
      </c>
      <c r="AQ196" s="170">
        <f t="shared" si="47"/>
        <v>628.92231367657155</v>
      </c>
      <c r="AR196" s="170">
        <f t="shared" si="47"/>
        <v>628.92231367657155</v>
      </c>
    </row>
    <row r="197" spans="2:44" s="149" customFormat="1">
      <c r="B197" s="155" t="s">
        <v>16</v>
      </c>
      <c r="C197" s="184" t="s">
        <v>139</v>
      </c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85"/>
      <c r="AI197" s="166"/>
      <c r="AJ197" s="166"/>
      <c r="AK197" s="198">
        <f>IF(AK$41&gt;0,(AK$41-AK209)*1000,0)</f>
        <v>-3365.6696128425042</v>
      </c>
      <c r="AL197" s="171">
        <f t="shared" si="48"/>
        <v>480.80994469178631</v>
      </c>
      <c r="AM197" s="171">
        <f t="shared" si="47"/>
        <v>480.80994469178631</v>
      </c>
      <c r="AN197" s="171">
        <f t="shared" si="47"/>
        <v>480.80994469178631</v>
      </c>
      <c r="AO197" s="171">
        <f t="shared" si="47"/>
        <v>480.80994469178631</v>
      </c>
      <c r="AP197" s="171">
        <f t="shared" si="47"/>
        <v>480.80994469178631</v>
      </c>
      <c r="AQ197" s="171">
        <f t="shared" si="47"/>
        <v>480.80994469178631</v>
      </c>
      <c r="AR197" s="171">
        <f t="shared" si="47"/>
        <v>480.80994469178631</v>
      </c>
    </row>
    <row r="198" spans="2:44" s="149" customFormat="1">
      <c r="B198" s="156" t="s">
        <v>72</v>
      </c>
      <c r="C198" s="182" t="s">
        <v>139</v>
      </c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80"/>
      <c r="AL198" s="167"/>
      <c r="AM198" s="167"/>
      <c r="AN198" s="167"/>
      <c r="AO198" s="167"/>
      <c r="AP198" s="167"/>
      <c r="AQ198" s="167"/>
      <c r="AR198" s="167"/>
    </row>
    <row r="199" spans="2:44" s="149" customFormat="1" ht="15.75" thickBot="1">
      <c r="B199" s="155" t="s">
        <v>8</v>
      </c>
      <c r="C199" s="159" t="s">
        <v>190</v>
      </c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99">
        <f>IF(AK$36&gt;0,(AK$36-AK211)*1000,0)</f>
        <v>-38691.053380685873</v>
      </c>
      <c r="AL199" s="200">
        <f>-$AK199/7</f>
        <v>5527.2933400979819</v>
      </c>
      <c r="AM199" s="171">
        <f t="shared" si="47"/>
        <v>5527.2933400979819</v>
      </c>
      <c r="AN199" s="171">
        <f t="shared" si="47"/>
        <v>5527.2933400979819</v>
      </c>
      <c r="AO199" s="171">
        <f t="shared" si="47"/>
        <v>5527.2933400979819</v>
      </c>
      <c r="AP199" s="171">
        <f t="shared" si="47"/>
        <v>5527.2933400979819</v>
      </c>
      <c r="AQ199" s="171">
        <f t="shared" si="47"/>
        <v>5527.2933400979819</v>
      </c>
      <c r="AR199" s="171">
        <f t="shared" si="47"/>
        <v>5527.2933400979819</v>
      </c>
    </row>
    <row r="200" spans="2:44" s="149" customFormat="1">
      <c r="B200" s="151"/>
      <c r="C200" s="162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204"/>
      <c r="AK200" s="204"/>
      <c r="AL200" s="204" t="s">
        <v>99</v>
      </c>
      <c r="AM200" s="204" t="s">
        <v>99</v>
      </c>
      <c r="AN200" s="204" t="s">
        <v>99</v>
      </c>
      <c r="AO200" s="204" t="s">
        <v>99</v>
      </c>
      <c r="AP200" s="204" t="s">
        <v>99</v>
      </c>
      <c r="AQ200" s="204" t="s">
        <v>99</v>
      </c>
      <c r="AR200" s="204" t="s">
        <v>99</v>
      </c>
    </row>
    <row r="201" spans="2:44" s="149" customFormat="1">
      <c r="B201" s="173" t="s">
        <v>137</v>
      </c>
      <c r="C201" s="162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91"/>
      <c r="AJ201" s="195"/>
      <c r="AK201" s="165"/>
      <c r="AL201" s="165"/>
      <c r="AM201" s="165"/>
      <c r="AN201" s="165"/>
      <c r="AO201" s="165"/>
      <c r="AP201" s="165"/>
      <c r="AQ201" s="165"/>
      <c r="AR201" s="165"/>
    </row>
    <row r="202" spans="2:44" s="149" customFormat="1">
      <c r="B202" s="150" t="s">
        <v>66</v>
      </c>
      <c r="C202" s="157"/>
      <c r="D202" s="154">
        <v>32874</v>
      </c>
      <c r="E202" s="154">
        <v>33239</v>
      </c>
      <c r="F202" s="154">
        <v>33604</v>
      </c>
      <c r="G202" s="154">
        <v>33970</v>
      </c>
      <c r="H202" s="154">
        <v>34335</v>
      </c>
      <c r="I202" s="154">
        <v>34700</v>
      </c>
      <c r="J202" s="154">
        <v>35065</v>
      </c>
      <c r="K202" s="154">
        <v>35431</v>
      </c>
      <c r="L202" s="154">
        <v>35796</v>
      </c>
      <c r="M202" s="154">
        <v>36161</v>
      </c>
      <c r="N202" s="154">
        <v>36526</v>
      </c>
      <c r="O202" s="154">
        <v>36892</v>
      </c>
      <c r="P202" s="154">
        <v>37257</v>
      </c>
      <c r="Q202" s="154">
        <v>37622</v>
      </c>
      <c r="R202" s="154">
        <v>37987</v>
      </c>
      <c r="S202" s="154">
        <v>38353</v>
      </c>
      <c r="T202" s="154">
        <v>38718</v>
      </c>
      <c r="U202" s="154">
        <v>39083</v>
      </c>
      <c r="V202" s="154">
        <v>39448</v>
      </c>
      <c r="W202" s="154">
        <v>39814</v>
      </c>
      <c r="X202" s="154">
        <v>40179</v>
      </c>
      <c r="Y202" s="154">
        <v>40544</v>
      </c>
      <c r="Z202" s="154">
        <v>40909</v>
      </c>
      <c r="AA202" s="154">
        <v>41275</v>
      </c>
      <c r="AB202" s="154">
        <v>41640</v>
      </c>
      <c r="AC202" s="154">
        <v>42005</v>
      </c>
      <c r="AD202" s="154">
        <v>42370</v>
      </c>
      <c r="AE202" s="154">
        <v>42736</v>
      </c>
      <c r="AF202" s="154">
        <v>43101</v>
      </c>
      <c r="AG202" s="154">
        <v>43466</v>
      </c>
      <c r="AH202" s="207">
        <v>43831</v>
      </c>
      <c r="AI202" s="154">
        <v>44197</v>
      </c>
      <c r="AJ202" s="207">
        <v>44562</v>
      </c>
      <c r="AK202" s="154">
        <v>44927</v>
      </c>
      <c r="AL202" s="154">
        <v>45292</v>
      </c>
      <c r="AM202" s="154">
        <v>45658</v>
      </c>
      <c r="AN202" s="154">
        <v>46023</v>
      </c>
      <c r="AO202" s="154">
        <v>46388</v>
      </c>
      <c r="AP202" s="154">
        <v>46753</v>
      </c>
      <c r="AQ202" s="154">
        <v>47119</v>
      </c>
      <c r="AR202" s="154">
        <v>47484</v>
      </c>
    </row>
    <row r="203" spans="2:44" s="149" customFormat="1">
      <c r="B203" s="155" t="s">
        <v>171</v>
      </c>
      <c r="C203" s="184" t="s">
        <v>181</v>
      </c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93"/>
      <c r="AI203" s="166"/>
      <c r="AJ203" s="177"/>
      <c r="AK203" s="171">
        <f t="shared" ref="AK203:AR209" si="49">AK227+AK215/1000</f>
        <v>723.95962367768686</v>
      </c>
      <c r="AL203" s="171">
        <f t="shared" si="49"/>
        <v>685.95962367768686</v>
      </c>
      <c r="AM203" s="171">
        <f t="shared" si="49"/>
        <v>646.95962367768686</v>
      </c>
      <c r="AN203" s="171">
        <f t="shared" si="49"/>
        <v>607.95962367768686</v>
      </c>
      <c r="AO203" s="171">
        <f t="shared" si="49"/>
        <v>568.95962367768686</v>
      </c>
      <c r="AP203" s="171">
        <f t="shared" si="49"/>
        <v>526.95962367768686</v>
      </c>
      <c r="AQ203" s="171">
        <f t="shared" si="49"/>
        <v>485.95962367768686</v>
      </c>
      <c r="AR203" s="171">
        <f t="shared" si="49"/>
        <v>441.95962367768686</v>
      </c>
    </row>
    <row r="204" spans="2:44" s="149" customFormat="1">
      <c r="B204" s="179" t="s">
        <v>8</v>
      </c>
      <c r="C204" s="182" t="s">
        <v>174</v>
      </c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92"/>
      <c r="AI204" s="167"/>
      <c r="AJ204" s="175"/>
      <c r="AK204" s="170" t="e">
        <f t="shared" si="49"/>
        <v>#N/A</v>
      </c>
      <c r="AL204" s="170" t="e">
        <f t="shared" si="49"/>
        <v>#N/A</v>
      </c>
      <c r="AM204" s="170" t="e">
        <f t="shared" si="49"/>
        <v>#N/A</v>
      </c>
      <c r="AN204" s="170" t="e">
        <f t="shared" si="49"/>
        <v>#N/A</v>
      </c>
      <c r="AO204" s="170" t="e">
        <f t="shared" si="49"/>
        <v>#N/A</v>
      </c>
      <c r="AP204" s="170" t="e">
        <f t="shared" si="49"/>
        <v>#N/A</v>
      </c>
      <c r="AQ204" s="170" t="e">
        <f t="shared" si="49"/>
        <v>#N/A</v>
      </c>
      <c r="AR204" s="170">
        <f t="shared" si="49"/>
        <v>107.9776140872485</v>
      </c>
    </row>
    <row r="205" spans="2:44" s="149" customFormat="1">
      <c r="B205" s="155" t="s">
        <v>9</v>
      </c>
      <c r="C205" s="184" t="s">
        <v>174</v>
      </c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93"/>
      <c r="AI205" s="172"/>
      <c r="AJ205" s="177"/>
      <c r="AK205" s="171">
        <f t="shared" si="49"/>
        <v>172.985406483856</v>
      </c>
      <c r="AL205" s="171">
        <f t="shared" si="49"/>
        <v>165.985406483856</v>
      </c>
      <c r="AM205" s="171">
        <f t="shared" si="49"/>
        <v>157.985406483856</v>
      </c>
      <c r="AN205" s="171">
        <f t="shared" si="49"/>
        <v>149.985406483856</v>
      </c>
      <c r="AO205" s="171">
        <f t="shared" si="49"/>
        <v>140.985406483856</v>
      </c>
      <c r="AP205" s="171">
        <f t="shared" si="49"/>
        <v>132.985406483856</v>
      </c>
      <c r="AQ205" s="171">
        <f t="shared" si="49"/>
        <v>125.98540648385597</v>
      </c>
      <c r="AR205" s="171">
        <f t="shared" si="49"/>
        <v>118.98540648385597</v>
      </c>
    </row>
    <row r="206" spans="2:44" s="149" customFormat="1">
      <c r="B206" s="156" t="s">
        <v>10</v>
      </c>
      <c r="C206" s="182" t="s">
        <v>174</v>
      </c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92"/>
      <c r="AI206" s="167"/>
      <c r="AJ206" s="175"/>
      <c r="AK206" s="170">
        <f t="shared" si="49"/>
        <v>101.05379676576811</v>
      </c>
      <c r="AL206" s="170">
        <f t="shared" si="49"/>
        <v>96.053796765768112</v>
      </c>
      <c r="AM206" s="170">
        <f t="shared" si="49"/>
        <v>91.053796765768112</v>
      </c>
      <c r="AN206" s="170">
        <f t="shared" si="49"/>
        <v>86.053796765768112</v>
      </c>
      <c r="AO206" s="170">
        <f t="shared" si="49"/>
        <v>81.053796765768112</v>
      </c>
      <c r="AP206" s="170">
        <f t="shared" si="49"/>
        <v>76.053796765768112</v>
      </c>
      <c r="AQ206" s="170">
        <f t="shared" si="49"/>
        <v>71.053796765768112</v>
      </c>
      <c r="AR206" s="170">
        <f t="shared" si="49"/>
        <v>66.053796765768112</v>
      </c>
    </row>
    <row r="207" spans="2:44" s="149" customFormat="1">
      <c r="B207" s="155" t="s">
        <v>14</v>
      </c>
      <c r="C207" s="184" t="s">
        <v>174</v>
      </c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93"/>
      <c r="AI207" s="166"/>
      <c r="AJ207" s="177"/>
      <c r="AK207" s="171">
        <f t="shared" si="49"/>
        <v>132.74131421065542</v>
      </c>
      <c r="AL207" s="171">
        <f t="shared" si="49"/>
        <v>126.7413142106554</v>
      </c>
      <c r="AM207" s="171">
        <f t="shared" si="49"/>
        <v>121.7413142106554</v>
      </c>
      <c r="AN207" s="171">
        <f t="shared" si="49"/>
        <v>115.7413142106554</v>
      </c>
      <c r="AO207" s="171">
        <f t="shared" si="49"/>
        <v>110.7413142106554</v>
      </c>
      <c r="AP207" s="171">
        <f t="shared" si="49"/>
        <v>103.7413142106554</v>
      </c>
      <c r="AQ207" s="171">
        <f t="shared" si="49"/>
        <v>94.741314210655403</v>
      </c>
      <c r="AR207" s="171">
        <f t="shared" si="49"/>
        <v>83.741314210655403</v>
      </c>
    </row>
    <row r="208" spans="2:44" s="149" customFormat="1">
      <c r="B208" s="156" t="s">
        <v>15</v>
      </c>
      <c r="C208" s="182" t="s">
        <v>174</v>
      </c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81"/>
      <c r="AI208" s="167"/>
      <c r="AJ208" s="181"/>
      <c r="AK208" s="167">
        <f t="shared" si="49"/>
        <v>67.362442884434003</v>
      </c>
      <c r="AL208" s="167">
        <f t="shared" si="49"/>
        <v>66.362442884434003</v>
      </c>
      <c r="AM208" s="167">
        <f t="shared" si="49"/>
        <v>64.362442884433989</v>
      </c>
      <c r="AN208" s="167">
        <f t="shared" si="49"/>
        <v>63.362442884433989</v>
      </c>
      <c r="AO208" s="167">
        <f t="shared" si="49"/>
        <v>62.362442884433989</v>
      </c>
      <c r="AP208" s="167">
        <f t="shared" si="49"/>
        <v>60.362442884433989</v>
      </c>
      <c r="AQ208" s="167">
        <f t="shared" si="49"/>
        <v>58.362442884433989</v>
      </c>
      <c r="AR208" s="167">
        <f t="shared" si="49"/>
        <v>57.362442884433989</v>
      </c>
    </row>
    <row r="209" spans="2:44" s="149" customFormat="1">
      <c r="B209" s="155" t="s">
        <v>16</v>
      </c>
      <c r="C209" s="184" t="s">
        <v>174</v>
      </c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94"/>
      <c r="AI209" s="166"/>
      <c r="AJ209" s="194"/>
      <c r="AK209" s="166">
        <f t="shared" si="49"/>
        <v>8.8556929007255043</v>
      </c>
      <c r="AL209" s="166">
        <f t="shared" si="49"/>
        <v>7.8556929007255061</v>
      </c>
      <c r="AM209" s="166">
        <f t="shared" si="49"/>
        <v>7.8556929007255061</v>
      </c>
      <c r="AN209" s="166">
        <f t="shared" si="49"/>
        <v>6.8556929007255061</v>
      </c>
      <c r="AO209" s="166">
        <f t="shared" si="49"/>
        <v>6.8556929007255061</v>
      </c>
      <c r="AP209" s="166">
        <f t="shared" si="49"/>
        <v>5.8556929007255061</v>
      </c>
      <c r="AQ209" s="166">
        <f t="shared" si="49"/>
        <v>5.8556929007255061</v>
      </c>
      <c r="AR209" s="166">
        <f t="shared" si="49"/>
        <v>4.8556929007255061</v>
      </c>
    </row>
    <row r="210" spans="2:44" s="149" customFormat="1">
      <c r="B210" s="156" t="s">
        <v>72</v>
      </c>
      <c r="C210" s="182" t="s">
        <v>174</v>
      </c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81"/>
      <c r="AI210" s="167"/>
      <c r="AJ210" s="181"/>
      <c r="AK210" s="167"/>
      <c r="AL210" s="167"/>
      <c r="AM210" s="167"/>
      <c r="AN210" s="167"/>
      <c r="AO210" s="167"/>
      <c r="AP210" s="167"/>
      <c r="AQ210" s="167"/>
      <c r="AR210" s="167"/>
    </row>
    <row r="211" spans="2:44" s="149" customFormat="1">
      <c r="B211" s="155" t="s">
        <v>8</v>
      </c>
      <c r="C211" s="159" t="s">
        <v>190</v>
      </c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94"/>
      <c r="AI211" s="166"/>
      <c r="AJ211" s="194"/>
      <c r="AK211" s="171">
        <f t="shared" ref="AK211:AR211" si="50">AK235+AK223/1000</f>
        <v>241.27347043224788</v>
      </c>
      <c r="AL211" s="171">
        <f t="shared" si="50"/>
        <v>222.64847043224788</v>
      </c>
      <c r="AM211" s="171">
        <f t="shared" si="50"/>
        <v>204.02347043224788</v>
      </c>
      <c r="AN211" s="171">
        <f t="shared" si="50"/>
        <v>185.39847043224788</v>
      </c>
      <c r="AO211" s="171">
        <f t="shared" si="50"/>
        <v>166.77347043224788</v>
      </c>
      <c r="AP211" s="171">
        <f t="shared" si="50"/>
        <v>148.14847043224788</v>
      </c>
      <c r="AQ211" s="171">
        <f t="shared" si="50"/>
        <v>129.52347043224788</v>
      </c>
      <c r="AR211" s="171">
        <f t="shared" si="50"/>
        <v>110.89847043224788</v>
      </c>
    </row>
    <row r="212" spans="2:44" s="149" customFormat="1" ht="15.75" thickBot="1">
      <c r="B212" s="151"/>
      <c r="C212" s="162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204"/>
      <c r="AK212" s="204" t="s">
        <v>99</v>
      </c>
      <c r="AL212" s="204" t="s">
        <v>99</v>
      </c>
      <c r="AM212" s="204" t="s">
        <v>99</v>
      </c>
      <c r="AN212" s="204" t="s">
        <v>99</v>
      </c>
      <c r="AO212" s="204" t="s">
        <v>99</v>
      </c>
      <c r="AP212" s="204" t="s">
        <v>99</v>
      </c>
      <c r="AQ212" s="204" t="s">
        <v>99</v>
      </c>
      <c r="AR212" s="204" t="s">
        <v>99</v>
      </c>
    </row>
    <row r="213" spans="2:44" s="149" customFormat="1">
      <c r="B213" s="173" t="s">
        <v>132</v>
      </c>
      <c r="C213" s="162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J213" s="197" t="s">
        <v>40</v>
      </c>
      <c r="AK213" s="195" t="s">
        <v>101</v>
      </c>
      <c r="AL213" s="165"/>
      <c r="AM213" s="165"/>
      <c r="AN213" s="165"/>
      <c r="AO213" s="165"/>
      <c r="AP213" s="165"/>
      <c r="AQ213" s="165"/>
      <c r="AR213" s="165"/>
    </row>
    <row r="214" spans="2:44" s="149" customFormat="1">
      <c r="B214" s="150" t="s">
        <v>66</v>
      </c>
      <c r="C214" s="157"/>
      <c r="D214" s="154">
        <v>32874</v>
      </c>
      <c r="E214" s="154">
        <v>33239</v>
      </c>
      <c r="F214" s="154">
        <v>33604</v>
      </c>
      <c r="G214" s="154">
        <v>33970</v>
      </c>
      <c r="H214" s="154">
        <v>34335</v>
      </c>
      <c r="I214" s="154">
        <v>34700</v>
      </c>
      <c r="J214" s="154">
        <v>35065</v>
      </c>
      <c r="K214" s="154">
        <v>35431</v>
      </c>
      <c r="L214" s="154">
        <v>35796</v>
      </c>
      <c r="M214" s="154">
        <v>36161</v>
      </c>
      <c r="N214" s="154">
        <v>36526</v>
      </c>
      <c r="O214" s="154">
        <v>36892</v>
      </c>
      <c r="P214" s="154">
        <v>37257</v>
      </c>
      <c r="Q214" s="154">
        <v>37622</v>
      </c>
      <c r="R214" s="154">
        <v>37987</v>
      </c>
      <c r="S214" s="154">
        <v>38353</v>
      </c>
      <c r="T214" s="154">
        <v>38718</v>
      </c>
      <c r="U214" s="154">
        <v>39083</v>
      </c>
      <c r="V214" s="154">
        <v>39448</v>
      </c>
      <c r="W214" s="154">
        <v>39814</v>
      </c>
      <c r="X214" s="154">
        <v>40179</v>
      </c>
      <c r="Y214" s="154">
        <v>40544</v>
      </c>
      <c r="Z214" s="154">
        <v>40909</v>
      </c>
      <c r="AA214" s="154">
        <v>41275</v>
      </c>
      <c r="AB214" s="154">
        <v>41640</v>
      </c>
      <c r="AC214" s="154">
        <v>42005</v>
      </c>
      <c r="AD214" s="154">
        <v>42370</v>
      </c>
      <c r="AE214" s="154">
        <v>42736</v>
      </c>
      <c r="AF214" s="154">
        <v>43101</v>
      </c>
      <c r="AG214" s="154">
        <v>43466</v>
      </c>
      <c r="AH214" s="154">
        <v>43831</v>
      </c>
      <c r="AI214" s="189">
        <v>44197</v>
      </c>
      <c r="AJ214" s="174">
        <v>44562</v>
      </c>
      <c r="AK214" s="190">
        <v>44927</v>
      </c>
      <c r="AL214" s="154">
        <v>45292</v>
      </c>
      <c r="AM214" s="154">
        <v>45658</v>
      </c>
      <c r="AN214" s="154">
        <v>46023</v>
      </c>
      <c r="AO214" s="154">
        <v>46388</v>
      </c>
      <c r="AP214" s="154">
        <v>46753</v>
      </c>
      <c r="AQ214" s="154">
        <v>47119</v>
      </c>
      <c r="AR214" s="154">
        <v>47484</v>
      </c>
    </row>
    <row r="215" spans="2:44" s="149" customFormat="1">
      <c r="B215" s="155" t="s">
        <v>171</v>
      </c>
      <c r="C215" s="184" t="s">
        <v>139</v>
      </c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85"/>
      <c r="AI215" s="193"/>
      <c r="AJ215" s="198">
        <f>IF(AJ$35&gt;0,(AJ$35-AJ227)*1000,0)</f>
        <v>-8884.1080986867382</v>
      </c>
      <c r="AK215" s="200">
        <f>-$AJ215/8</f>
        <v>1110.5135123358423</v>
      </c>
      <c r="AL215" s="171">
        <f t="shared" ref="AL215:AR223" si="51">-$AJ215/8</f>
        <v>1110.5135123358423</v>
      </c>
      <c r="AM215" s="171">
        <f>-$AJ215/8</f>
        <v>1110.5135123358423</v>
      </c>
      <c r="AN215" s="171">
        <f t="shared" si="51"/>
        <v>1110.5135123358423</v>
      </c>
      <c r="AO215" s="171">
        <f t="shared" si="51"/>
        <v>1110.5135123358423</v>
      </c>
      <c r="AP215" s="171">
        <f t="shared" si="51"/>
        <v>1110.5135123358423</v>
      </c>
      <c r="AQ215" s="171">
        <f t="shared" si="51"/>
        <v>1110.5135123358423</v>
      </c>
      <c r="AR215" s="171">
        <f t="shared" si="51"/>
        <v>1110.5135123358423</v>
      </c>
    </row>
    <row r="216" spans="2:44" s="149" customFormat="1">
      <c r="B216" s="156" t="s">
        <v>8</v>
      </c>
      <c r="C216" s="182" t="s">
        <v>139</v>
      </c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83"/>
      <c r="AI216" s="192"/>
      <c r="AJ216" s="198">
        <f>(AJ36-AJ228)*1000</f>
        <v>179.08730201202161</v>
      </c>
      <c r="AK216" s="202" t="e">
        <v>#N/A</v>
      </c>
      <c r="AL216" s="203" t="e">
        <v>#N/A</v>
      </c>
      <c r="AM216" s="203" t="e">
        <v>#N/A</v>
      </c>
      <c r="AN216" s="203" t="e">
        <v>#N/A</v>
      </c>
      <c r="AO216" s="203" t="e">
        <v>#N/A</v>
      </c>
      <c r="AP216" s="203" t="e">
        <v>#N/A</v>
      </c>
      <c r="AQ216" s="203" t="e">
        <v>#N/A</v>
      </c>
      <c r="AR216" s="203">
        <f>-$AJ216/8</f>
        <v>-22.385912751502701</v>
      </c>
    </row>
    <row r="217" spans="2:44" s="149" customFormat="1">
      <c r="B217" s="155" t="s">
        <v>9</v>
      </c>
      <c r="C217" s="184" t="s">
        <v>139</v>
      </c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85"/>
      <c r="AI217" s="193"/>
      <c r="AJ217" s="198">
        <f>IF(AJ$37&gt;0,(AJ$37-AJ229)*1000,0)</f>
        <v>-8996.3191003539014</v>
      </c>
      <c r="AK217" s="200">
        <f>-$AJ217/8</f>
        <v>1124.5398875442377</v>
      </c>
      <c r="AL217" s="171">
        <f t="shared" si="51"/>
        <v>1124.5398875442377</v>
      </c>
      <c r="AM217" s="171">
        <f>-$AJ217/8</f>
        <v>1124.5398875442377</v>
      </c>
      <c r="AN217" s="171">
        <f t="shared" si="51"/>
        <v>1124.5398875442377</v>
      </c>
      <c r="AO217" s="171">
        <f t="shared" si="51"/>
        <v>1124.5398875442377</v>
      </c>
      <c r="AP217" s="171">
        <f t="shared" si="51"/>
        <v>1124.5398875442377</v>
      </c>
      <c r="AQ217" s="171">
        <f t="shared" si="51"/>
        <v>1124.5398875442377</v>
      </c>
      <c r="AR217" s="171">
        <f t="shared" si="51"/>
        <v>1124.5398875442377</v>
      </c>
    </row>
    <row r="218" spans="2:44" s="149" customFormat="1">
      <c r="B218" s="179" t="s">
        <v>10</v>
      </c>
      <c r="C218" s="182" t="s">
        <v>139</v>
      </c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83"/>
      <c r="AI218" s="192"/>
      <c r="AJ218" s="198">
        <f>IF(AJ$38&gt;0,(AJ$38-AJ230)*1000,0)</f>
        <v>3102.0233567725199</v>
      </c>
      <c r="AK218" s="196">
        <f t="shared" ref="AK218:AK221" si="52">-$AJ218/8</f>
        <v>-387.75291959656499</v>
      </c>
      <c r="AL218" s="170">
        <f t="shared" si="51"/>
        <v>-387.75291959656499</v>
      </c>
      <c r="AM218" s="170">
        <f t="shared" si="51"/>
        <v>-387.75291959656499</v>
      </c>
      <c r="AN218" s="170">
        <f t="shared" si="51"/>
        <v>-387.75291959656499</v>
      </c>
      <c r="AO218" s="170">
        <f t="shared" si="51"/>
        <v>-387.75291959656499</v>
      </c>
      <c r="AP218" s="170">
        <f t="shared" si="51"/>
        <v>-387.75291959656499</v>
      </c>
      <c r="AQ218" s="170">
        <f t="shared" si="51"/>
        <v>-387.75291959656499</v>
      </c>
      <c r="AR218" s="170">
        <f t="shared" si="51"/>
        <v>-387.75291959656499</v>
      </c>
    </row>
    <row r="219" spans="2:44" s="149" customFormat="1">
      <c r="B219" s="155" t="s">
        <v>14</v>
      </c>
      <c r="C219" s="184" t="s">
        <v>139</v>
      </c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  <c r="AA219" s="172"/>
      <c r="AB219" s="172"/>
      <c r="AC219" s="172"/>
      <c r="AD219" s="172"/>
      <c r="AE219" s="172"/>
      <c r="AF219" s="172"/>
      <c r="AG219" s="172"/>
      <c r="AH219" s="185"/>
      <c r="AI219" s="193"/>
      <c r="AJ219" s="198">
        <f>IF(AJ$39&gt;0,(AJ$39-AJ231)*1000,0)</f>
        <v>8481.7477072951697</v>
      </c>
      <c r="AK219" s="200">
        <f t="shared" si="52"/>
        <v>-1060.2184634118962</v>
      </c>
      <c r="AL219" s="171">
        <f t="shared" si="51"/>
        <v>-1060.2184634118962</v>
      </c>
      <c r="AM219" s="171">
        <f t="shared" si="51"/>
        <v>-1060.2184634118962</v>
      </c>
      <c r="AN219" s="171">
        <f t="shared" si="51"/>
        <v>-1060.2184634118962</v>
      </c>
      <c r="AO219" s="171">
        <f t="shared" si="51"/>
        <v>-1060.2184634118962</v>
      </c>
      <c r="AP219" s="171">
        <f t="shared" si="51"/>
        <v>-1060.2184634118962</v>
      </c>
      <c r="AQ219" s="171">
        <f t="shared" si="51"/>
        <v>-1060.2184634118962</v>
      </c>
      <c r="AR219" s="171">
        <f t="shared" si="51"/>
        <v>-1060.2184634118962</v>
      </c>
    </row>
    <row r="220" spans="2:44" s="149" customFormat="1">
      <c r="B220" s="156" t="s">
        <v>15</v>
      </c>
      <c r="C220" s="182" t="s">
        <v>139</v>
      </c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83"/>
      <c r="AI220" s="192"/>
      <c r="AJ220" s="198">
        <f>IF(AJ$40&gt;0,(AJ$40-AJ232)*1000,0)</f>
        <v>-6158.5229238922566</v>
      </c>
      <c r="AK220" s="196">
        <f t="shared" si="52"/>
        <v>769.81536548653207</v>
      </c>
      <c r="AL220" s="170">
        <f t="shared" si="51"/>
        <v>769.81536548653207</v>
      </c>
      <c r="AM220" s="170">
        <f t="shared" si="51"/>
        <v>769.81536548653207</v>
      </c>
      <c r="AN220" s="170">
        <f t="shared" si="51"/>
        <v>769.81536548653207</v>
      </c>
      <c r="AO220" s="170">
        <f t="shared" si="51"/>
        <v>769.81536548653207</v>
      </c>
      <c r="AP220" s="170">
        <f t="shared" si="51"/>
        <v>769.81536548653207</v>
      </c>
      <c r="AQ220" s="170">
        <f t="shared" si="51"/>
        <v>769.81536548653207</v>
      </c>
      <c r="AR220" s="170">
        <f t="shared" si="51"/>
        <v>769.81536548653207</v>
      </c>
    </row>
    <row r="221" spans="2:44" s="149" customFormat="1">
      <c r="B221" s="155" t="s">
        <v>16</v>
      </c>
      <c r="C221" s="184" t="s">
        <v>139</v>
      </c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85"/>
      <c r="AI221" s="193"/>
      <c r="AJ221" s="198">
        <f>IF(AJ$41&gt;0,(AJ$41-AJ233)*1000,0)</f>
        <v>-2840.2521338541551</v>
      </c>
      <c r="AK221" s="200">
        <f t="shared" si="52"/>
        <v>355.03151673176939</v>
      </c>
      <c r="AL221" s="171">
        <f t="shared" si="51"/>
        <v>355.03151673176939</v>
      </c>
      <c r="AM221" s="171">
        <f t="shared" si="51"/>
        <v>355.03151673176939</v>
      </c>
      <c r="AN221" s="171">
        <f t="shared" si="51"/>
        <v>355.03151673176939</v>
      </c>
      <c r="AO221" s="171">
        <f t="shared" si="51"/>
        <v>355.03151673176939</v>
      </c>
      <c r="AP221" s="171">
        <f t="shared" si="51"/>
        <v>355.03151673176939</v>
      </c>
      <c r="AQ221" s="171">
        <f t="shared" si="51"/>
        <v>355.03151673176939</v>
      </c>
      <c r="AR221" s="171">
        <f t="shared" si="51"/>
        <v>355.03151673176939</v>
      </c>
    </row>
    <row r="222" spans="2:44" s="149" customFormat="1">
      <c r="B222" s="156" t="s">
        <v>72</v>
      </c>
      <c r="C222" s="182" t="s">
        <v>139</v>
      </c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81"/>
      <c r="AJ222" s="198"/>
      <c r="AK222" s="176"/>
      <c r="AL222" s="167"/>
      <c r="AM222" s="167"/>
      <c r="AN222" s="167"/>
      <c r="AO222" s="167"/>
      <c r="AP222" s="167"/>
      <c r="AQ222" s="167"/>
      <c r="AR222" s="167"/>
    </row>
    <row r="223" spans="2:44" s="149" customFormat="1" ht="15.75" thickBot="1">
      <c r="B223" s="155" t="s">
        <v>8</v>
      </c>
      <c r="C223" s="159" t="s">
        <v>190</v>
      </c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94"/>
      <c r="AJ223" s="201">
        <f>IF(AJ$36&gt;0,(AJ$36-AJ235)*1000,0)</f>
        <v>-2417.2294490985564</v>
      </c>
      <c r="AK223" s="200">
        <f>-$AJ223/8</f>
        <v>302.15368113731955</v>
      </c>
      <c r="AL223" s="171">
        <f t="shared" si="51"/>
        <v>302.15368113731955</v>
      </c>
      <c r="AM223" s="171">
        <f>-$AJ223/8</f>
        <v>302.15368113731955</v>
      </c>
      <c r="AN223" s="171">
        <f t="shared" si="51"/>
        <v>302.15368113731955</v>
      </c>
      <c r="AO223" s="171">
        <f t="shared" si="51"/>
        <v>302.15368113731955</v>
      </c>
      <c r="AP223" s="171">
        <f t="shared" si="51"/>
        <v>302.15368113731955</v>
      </c>
      <c r="AQ223" s="171">
        <f t="shared" si="51"/>
        <v>302.15368113731955</v>
      </c>
      <c r="AR223" s="171">
        <f t="shared" si="51"/>
        <v>302.15368113731955</v>
      </c>
    </row>
    <row r="224" spans="2:44" s="149" customFormat="1">
      <c r="B224" s="151"/>
      <c r="C224" s="162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204"/>
      <c r="AK224" s="204" t="s">
        <v>99</v>
      </c>
      <c r="AL224" s="204" t="s">
        <v>99</v>
      </c>
      <c r="AM224" s="204" t="s">
        <v>99</v>
      </c>
      <c r="AN224" s="204" t="s">
        <v>99</v>
      </c>
      <c r="AO224" s="204" t="s">
        <v>99</v>
      </c>
      <c r="AP224" s="204" t="s">
        <v>99</v>
      </c>
      <c r="AQ224" s="204" t="s">
        <v>99</v>
      </c>
      <c r="AR224" s="204" t="s">
        <v>99</v>
      </c>
    </row>
    <row r="225" spans="2:44" s="149" customFormat="1">
      <c r="B225" s="173" t="s">
        <v>133</v>
      </c>
      <c r="C225" s="162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91"/>
      <c r="AJ225" s="195"/>
      <c r="AK225" s="165"/>
      <c r="AL225" s="165"/>
      <c r="AM225" s="165"/>
      <c r="AN225" s="165"/>
      <c r="AO225" s="165"/>
      <c r="AP225" s="165"/>
      <c r="AQ225" s="165"/>
      <c r="AR225" s="165"/>
    </row>
    <row r="226" spans="2:44" s="149" customFormat="1">
      <c r="B226" s="150" t="s">
        <v>66</v>
      </c>
      <c r="C226" s="157"/>
      <c r="D226" s="154">
        <v>32874</v>
      </c>
      <c r="E226" s="154">
        <v>33239</v>
      </c>
      <c r="F226" s="154">
        <v>33604</v>
      </c>
      <c r="G226" s="154">
        <v>33970</v>
      </c>
      <c r="H226" s="154">
        <v>34335</v>
      </c>
      <c r="I226" s="154">
        <v>34700</v>
      </c>
      <c r="J226" s="154">
        <v>35065</v>
      </c>
      <c r="K226" s="154">
        <v>35431</v>
      </c>
      <c r="L226" s="154">
        <v>35796</v>
      </c>
      <c r="M226" s="154">
        <v>36161</v>
      </c>
      <c r="N226" s="154">
        <v>36526</v>
      </c>
      <c r="O226" s="154">
        <v>36892</v>
      </c>
      <c r="P226" s="154">
        <v>37257</v>
      </c>
      <c r="Q226" s="154">
        <v>37622</v>
      </c>
      <c r="R226" s="154">
        <v>37987</v>
      </c>
      <c r="S226" s="154">
        <v>38353</v>
      </c>
      <c r="T226" s="154">
        <v>38718</v>
      </c>
      <c r="U226" s="154">
        <v>39083</v>
      </c>
      <c r="V226" s="154">
        <v>39448</v>
      </c>
      <c r="W226" s="154">
        <v>39814</v>
      </c>
      <c r="X226" s="154">
        <v>40179</v>
      </c>
      <c r="Y226" s="154">
        <v>40544</v>
      </c>
      <c r="Z226" s="154">
        <v>40909</v>
      </c>
      <c r="AA226" s="154">
        <v>41275</v>
      </c>
      <c r="AB226" s="154">
        <v>41640</v>
      </c>
      <c r="AC226" s="154">
        <v>42005</v>
      </c>
      <c r="AD226" s="154">
        <v>42370</v>
      </c>
      <c r="AE226" s="154">
        <v>42736</v>
      </c>
      <c r="AF226" s="154">
        <v>43101</v>
      </c>
      <c r="AG226" s="154">
        <v>43466</v>
      </c>
      <c r="AH226" s="189">
        <v>43831</v>
      </c>
      <c r="AI226" s="154">
        <v>44197</v>
      </c>
      <c r="AJ226" s="189">
        <v>44562</v>
      </c>
      <c r="AK226" s="154">
        <v>44927</v>
      </c>
      <c r="AL226" s="154">
        <v>45292</v>
      </c>
      <c r="AM226" s="154">
        <v>45658</v>
      </c>
      <c r="AN226" s="154">
        <v>46023</v>
      </c>
      <c r="AO226" s="154">
        <v>46388</v>
      </c>
      <c r="AP226" s="154">
        <v>46753</v>
      </c>
      <c r="AQ226" s="154">
        <v>47119</v>
      </c>
      <c r="AR226" s="154">
        <v>47484</v>
      </c>
    </row>
    <row r="227" spans="2:44" s="149" customFormat="1">
      <c r="B227" s="155" t="s">
        <v>171</v>
      </c>
      <c r="C227" s="184" t="s">
        <v>140</v>
      </c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93"/>
      <c r="AI227" s="166"/>
      <c r="AJ227" s="177">
        <f>AJ251+AJ239/1000</f>
        <v>758.84911016535102</v>
      </c>
      <c r="AK227" s="171">
        <f t="shared" ref="AJ227:AR229" si="53">AK251+AK239/1000</f>
        <v>722.84911016535102</v>
      </c>
      <c r="AL227" s="171">
        <f t="shared" si="53"/>
        <v>684.84911016535102</v>
      </c>
      <c r="AM227" s="171">
        <f t="shared" si="53"/>
        <v>645.84911016535102</v>
      </c>
      <c r="AN227" s="171">
        <f t="shared" si="53"/>
        <v>606.84911016535102</v>
      </c>
      <c r="AO227" s="171">
        <f t="shared" si="53"/>
        <v>567.84911016535102</v>
      </c>
      <c r="AP227" s="171">
        <f t="shared" si="53"/>
        <v>525.84911016535102</v>
      </c>
      <c r="AQ227" s="171">
        <f t="shared" si="53"/>
        <v>484.84911016535102</v>
      </c>
      <c r="AR227" s="171">
        <f t="shared" si="53"/>
        <v>440.84911016535102</v>
      </c>
    </row>
    <row r="228" spans="2:44" s="149" customFormat="1">
      <c r="B228" s="156" t="s">
        <v>8</v>
      </c>
      <c r="C228" s="182" t="s">
        <v>140</v>
      </c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92"/>
      <c r="AI228" s="167"/>
      <c r="AJ228" s="175">
        <f>AJ252+AJ240/1000</f>
        <v>257</v>
      </c>
      <c r="AK228" s="170" t="e">
        <f t="shared" ref="AK228:AR228" si="54">AK252+AK240/1000</f>
        <v>#N/A</v>
      </c>
      <c r="AL228" s="170" t="e">
        <f t="shared" si="54"/>
        <v>#N/A</v>
      </c>
      <c r="AM228" s="170" t="e">
        <f t="shared" si="54"/>
        <v>#N/A</v>
      </c>
      <c r="AN228" s="170" t="e">
        <f t="shared" si="54"/>
        <v>#N/A</v>
      </c>
      <c r="AO228" s="170" t="e">
        <f t="shared" si="54"/>
        <v>#N/A</v>
      </c>
      <c r="AP228" s="170" t="e">
        <f t="shared" si="54"/>
        <v>#N/A</v>
      </c>
      <c r="AQ228" s="170" t="e">
        <f t="shared" si="54"/>
        <v>#N/A</v>
      </c>
      <c r="AR228" s="170">
        <f t="shared" si="54"/>
        <v>108</v>
      </c>
    </row>
    <row r="229" spans="2:44" s="149" customFormat="1">
      <c r="B229" s="155" t="s">
        <v>9</v>
      </c>
      <c r="C229" s="184" t="s">
        <v>140</v>
      </c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93"/>
      <c r="AI229" s="166"/>
      <c r="AJ229" s="177">
        <f t="shared" si="53"/>
        <v>176.86086659631175</v>
      </c>
      <c r="AK229" s="171">
        <f t="shared" si="53"/>
        <v>171.86086659631175</v>
      </c>
      <c r="AL229" s="171">
        <f t="shared" si="53"/>
        <v>164.86086659631175</v>
      </c>
      <c r="AM229" s="171">
        <f t="shared" si="53"/>
        <v>156.86086659631175</v>
      </c>
      <c r="AN229" s="171">
        <f t="shared" si="53"/>
        <v>148.86086659631175</v>
      </c>
      <c r="AO229" s="171">
        <f t="shared" si="53"/>
        <v>139.86086659631175</v>
      </c>
      <c r="AP229" s="171">
        <f t="shared" si="53"/>
        <v>131.86086659631175</v>
      </c>
      <c r="AQ229" s="171">
        <f t="shared" si="53"/>
        <v>124.86086659631174</v>
      </c>
      <c r="AR229" s="171">
        <f t="shared" si="53"/>
        <v>117.86086659631174</v>
      </c>
    </row>
    <row r="230" spans="2:44" s="149" customFormat="1">
      <c r="B230" s="179" t="s">
        <v>10</v>
      </c>
      <c r="C230" s="182" t="s">
        <v>140</v>
      </c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92"/>
      <c r="AI230" s="167"/>
      <c r="AJ230" s="175">
        <f t="shared" ref="AJ230:AR230" si="55">AJ254+AJ242/1000</f>
        <v>107.44154968536468</v>
      </c>
      <c r="AK230" s="170">
        <f t="shared" si="55"/>
        <v>101.44154968536468</v>
      </c>
      <c r="AL230" s="170">
        <f t="shared" si="55"/>
        <v>96.441549685364677</v>
      </c>
      <c r="AM230" s="170">
        <f t="shared" si="55"/>
        <v>91.441549685364677</v>
      </c>
      <c r="AN230" s="170">
        <f t="shared" si="55"/>
        <v>86.441549685364677</v>
      </c>
      <c r="AO230" s="170">
        <f t="shared" si="55"/>
        <v>81.441549685364677</v>
      </c>
      <c r="AP230" s="170">
        <f t="shared" si="55"/>
        <v>76.441549685364677</v>
      </c>
      <c r="AQ230" s="170">
        <f t="shared" si="55"/>
        <v>71.441549685364677</v>
      </c>
      <c r="AR230" s="170">
        <f t="shared" si="55"/>
        <v>66.441549685364677</v>
      </c>
    </row>
    <row r="231" spans="2:44" s="149" customFormat="1">
      <c r="B231" s="155" t="s">
        <v>14</v>
      </c>
      <c r="C231" s="184" t="s">
        <v>140</v>
      </c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93"/>
      <c r="AI231" s="172"/>
      <c r="AJ231" s="177">
        <f t="shared" ref="AJ231:AR231" si="56">AJ255+AJ243/1000</f>
        <v>138.80153267406732</v>
      </c>
      <c r="AK231" s="171">
        <f t="shared" si="56"/>
        <v>133.80153267406732</v>
      </c>
      <c r="AL231" s="171">
        <f t="shared" si="56"/>
        <v>127.8015326740673</v>
      </c>
      <c r="AM231" s="171">
        <f t="shared" si="56"/>
        <v>122.8015326740673</v>
      </c>
      <c r="AN231" s="171">
        <f t="shared" si="56"/>
        <v>116.8015326740673</v>
      </c>
      <c r="AO231" s="171">
        <f t="shared" si="56"/>
        <v>111.8015326740673</v>
      </c>
      <c r="AP231" s="171">
        <f t="shared" si="56"/>
        <v>104.8015326740673</v>
      </c>
      <c r="AQ231" s="171">
        <f t="shared" si="56"/>
        <v>95.801532674067303</v>
      </c>
      <c r="AR231" s="171">
        <f t="shared" si="56"/>
        <v>84.801532674067303</v>
      </c>
    </row>
    <row r="232" spans="2:44" s="149" customFormat="1">
      <c r="B232" s="156" t="s">
        <v>15</v>
      </c>
      <c r="C232" s="182" t="s">
        <v>140</v>
      </c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92"/>
      <c r="AI232" s="167"/>
      <c r="AJ232" s="175">
        <f t="shared" ref="AJ232:AR232" si="57">AJ256+AJ244/1000</f>
        <v>67.592627518947467</v>
      </c>
      <c r="AK232" s="170">
        <f t="shared" si="57"/>
        <v>66.592627518947467</v>
      </c>
      <c r="AL232" s="170">
        <f t="shared" si="57"/>
        <v>65.592627518947467</v>
      </c>
      <c r="AM232" s="170">
        <f t="shared" si="57"/>
        <v>63.592627518947459</v>
      </c>
      <c r="AN232" s="170">
        <f t="shared" si="57"/>
        <v>62.592627518947459</v>
      </c>
      <c r="AO232" s="170">
        <f t="shared" si="57"/>
        <v>61.592627518947459</v>
      </c>
      <c r="AP232" s="170">
        <f t="shared" si="57"/>
        <v>59.592627518947459</v>
      </c>
      <c r="AQ232" s="170">
        <f t="shared" si="57"/>
        <v>57.592627518947459</v>
      </c>
      <c r="AR232" s="170">
        <f t="shared" si="57"/>
        <v>56.592627518947459</v>
      </c>
    </row>
    <row r="233" spans="2:44" s="149" customFormat="1">
      <c r="B233" s="155" t="s">
        <v>16</v>
      </c>
      <c r="C233" s="184" t="s">
        <v>140</v>
      </c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93"/>
      <c r="AI233" s="166"/>
      <c r="AJ233" s="177">
        <f t="shared" ref="AJ233:AR233" si="58">AJ257+AJ245/1000</f>
        <v>8.5006613839937355</v>
      </c>
      <c r="AK233" s="171">
        <f t="shared" si="58"/>
        <v>8.5006613839937355</v>
      </c>
      <c r="AL233" s="171">
        <f t="shared" si="58"/>
        <v>7.5006613839937364</v>
      </c>
      <c r="AM233" s="171">
        <f t="shared" si="58"/>
        <v>7.5006613839937364</v>
      </c>
      <c r="AN233" s="171">
        <f t="shared" si="58"/>
        <v>6.5006613839937364</v>
      </c>
      <c r="AO233" s="171">
        <f t="shared" si="58"/>
        <v>6.5006613839937364</v>
      </c>
      <c r="AP233" s="171">
        <f t="shared" si="58"/>
        <v>5.5006613839937364</v>
      </c>
      <c r="AQ233" s="171">
        <f t="shared" si="58"/>
        <v>5.5006613839937364</v>
      </c>
      <c r="AR233" s="171">
        <f t="shared" si="58"/>
        <v>4.5006613839937364</v>
      </c>
    </row>
    <row r="234" spans="2:44" s="149" customFormat="1">
      <c r="B234" s="156" t="s">
        <v>72</v>
      </c>
      <c r="C234" s="182" t="s">
        <v>140</v>
      </c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81"/>
      <c r="AI234" s="167"/>
      <c r="AJ234" s="181"/>
      <c r="AK234" s="167"/>
      <c r="AL234" s="167"/>
      <c r="AM234" s="167"/>
      <c r="AN234" s="167"/>
      <c r="AO234" s="167"/>
      <c r="AP234" s="167"/>
      <c r="AQ234" s="167"/>
      <c r="AR234" s="167"/>
    </row>
    <row r="235" spans="2:44" s="149" customFormat="1">
      <c r="B235" s="155" t="s">
        <v>8</v>
      </c>
      <c r="C235" s="159" t="s">
        <v>190</v>
      </c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94"/>
      <c r="AI235" s="166"/>
      <c r="AJ235" s="177">
        <f>AJ259+AJ247/1000</f>
        <v>259.59631675111058</v>
      </c>
      <c r="AK235" s="171">
        <f t="shared" ref="AK235:AR235" si="59">AK259+AK247/1000</f>
        <v>240.97131675111055</v>
      </c>
      <c r="AL235" s="171">
        <f t="shared" si="59"/>
        <v>222.34631675111055</v>
      </c>
      <c r="AM235" s="171">
        <f t="shared" si="59"/>
        <v>203.72131675111055</v>
      </c>
      <c r="AN235" s="171">
        <f t="shared" si="59"/>
        <v>185.09631675111055</v>
      </c>
      <c r="AO235" s="171">
        <f t="shared" si="59"/>
        <v>166.47131675111055</v>
      </c>
      <c r="AP235" s="171">
        <f t="shared" si="59"/>
        <v>147.84631675111055</v>
      </c>
      <c r="AQ235" s="171">
        <f t="shared" si="59"/>
        <v>129.22131675111055</v>
      </c>
      <c r="AR235" s="171">
        <f t="shared" si="59"/>
        <v>110.59631675111055</v>
      </c>
    </row>
    <row r="236" spans="2:44" s="149" customFormat="1" ht="15.75" thickBot="1">
      <c r="B236" s="151"/>
      <c r="C236" s="162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  <c r="AG236" s="165"/>
      <c r="AH236" s="165"/>
      <c r="AI236" s="165"/>
      <c r="AJ236" s="204" t="s">
        <v>99</v>
      </c>
      <c r="AK236" s="204" t="s">
        <v>99</v>
      </c>
      <c r="AL236" s="204" t="s">
        <v>99</v>
      </c>
      <c r="AM236" s="204" t="s">
        <v>99</v>
      </c>
      <c r="AN236" s="204" t="s">
        <v>99</v>
      </c>
      <c r="AO236" s="204" t="s">
        <v>99</v>
      </c>
      <c r="AP236" s="204" t="s">
        <v>99</v>
      </c>
      <c r="AQ236" s="204" t="s">
        <v>99</v>
      </c>
      <c r="AR236" s="204" t="s">
        <v>99</v>
      </c>
    </row>
    <row r="237" spans="2:44" s="149" customFormat="1">
      <c r="B237" s="173" t="s">
        <v>100</v>
      </c>
      <c r="C237" s="162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91"/>
      <c r="AI237" s="197" t="s">
        <v>40</v>
      </c>
      <c r="AJ237" s="195" t="s">
        <v>101</v>
      </c>
      <c r="AK237" s="165"/>
      <c r="AL237" s="165"/>
      <c r="AM237" s="165"/>
      <c r="AN237" s="165"/>
      <c r="AO237" s="165"/>
      <c r="AP237" s="165"/>
      <c r="AQ237" s="165"/>
      <c r="AR237" s="165"/>
    </row>
    <row r="238" spans="2:44" s="149" customFormat="1">
      <c r="B238" s="150" t="s">
        <v>66</v>
      </c>
      <c r="C238" s="157"/>
      <c r="D238" s="154">
        <v>32874</v>
      </c>
      <c r="E238" s="154">
        <v>33239</v>
      </c>
      <c r="F238" s="154">
        <v>33604</v>
      </c>
      <c r="G238" s="154">
        <v>33970</v>
      </c>
      <c r="H238" s="154">
        <v>34335</v>
      </c>
      <c r="I238" s="154">
        <v>34700</v>
      </c>
      <c r="J238" s="154">
        <v>35065</v>
      </c>
      <c r="K238" s="154">
        <v>35431</v>
      </c>
      <c r="L238" s="154">
        <v>35796</v>
      </c>
      <c r="M238" s="154">
        <v>36161</v>
      </c>
      <c r="N238" s="154">
        <v>36526</v>
      </c>
      <c r="O238" s="154">
        <v>36892</v>
      </c>
      <c r="P238" s="154">
        <v>37257</v>
      </c>
      <c r="Q238" s="154">
        <v>37622</v>
      </c>
      <c r="R238" s="154">
        <v>37987</v>
      </c>
      <c r="S238" s="154">
        <v>38353</v>
      </c>
      <c r="T238" s="154">
        <v>38718</v>
      </c>
      <c r="U238" s="154">
        <v>39083</v>
      </c>
      <c r="V238" s="154">
        <v>39448</v>
      </c>
      <c r="W238" s="154">
        <v>39814</v>
      </c>
      <c r="X238" s="154">
        <v>40179</v>
      </c>
      <c r="Y238" s="154">
        <v>40544</v>
      </c>
      <c r="Z238" s="154">
        <v>40909</v>
      </c>
      <c r="AA238" s="154">
        <v>41275</v>
      </c>
      <c r="AB238" s="154">
        <v>41640</v>
      </c>
      <c r="AC238" s="154">
        <v>42005</v>
      </c>
      <c r="AD238" s="154">
        <v>42370</v>
      </c>
      <c r="AE238" s="154">
        <v>42736</v>
      </c>
      <c r="AF238" s="154">
        <v>43101</v>
      </c>
      <c r="AG238" s="154">
        <v>43466</v>
      </c>
      <c r="AH238" s="189">
        <v>43831</v>
      </c>
      <c r="AI238" s="174">
        <v>44197</v>
      </c>
      <c r="AJ238" s="190">
        <v>44562</v>
      </c>
      <c r="AK238" s="154">
        <v>44927</v>
      </c>
      <c r="AL238" s="154">
        <v>45292</v>
      </c>
      <c r="AM238" s="154">
        <v>45658</v>
      </c>
      <c r="AN238" s="154">
        <v>46023</v>
      </c>
      <c r="AO238" s="154">
        <v>46388</v>
      </c>
      <c r="AP238" s="154">
        <v>46753</v>
      </c>
      <c r="AQ238" s="154">
        <v>47119</v>
      </c>
      <c r="AR238" s="154">
        <v>47484</v>
      </c>
    </row>
    <row r="239" spans="2:44" s="149" customFormat="1">
      <c r="B239" s="155" t="s">
        <v>171</v>
      </c>
      <c r="C239" s="184" t="s">
        <v>139</v>
      </c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93"/>
      <c r="AI239" s="198">
        <f>IF(AI$35&gt;0,(AI$35-AI251)*1000,0)</f>
        <v>-25641.991488159307</v>
      </c>
      <c r="AJ239" s="178">
        <f>-$AI239/9</f>
        <v>2849.1101653510341</v>
      </c>
      <c r="AK239" s="166">
        <f t="shared" ref="AK239:AR247" si="60">-$AI239/9</f>
        <v>2849.1101653510341</v>
      </c>
      <c r="AL239" s="166">
        <f t="shared" si="60"/>
        <v>2849.1101653510341</v>
      </c>
      <c r="AM239" s="166">
        <f t="shared" si="60"/>
        <v>2849.1101653510341</v>
      </c>
      <c r="AN239" s="166">
        <f t="shared" si="60"/>
        <v>2849.1101653510341</v>
      </c>
      <c r="AO239" s="166">
        <f t="shared" si="60"/>
        <v>2849.1101653510341</v>
      </c>
      <c r="AP239" s="166">
        <f t="shared" si="60"/>
        <v>2849.1101653510341</v>
      </c>
      <c r="AQ239" s="166">
        <f t="shared" si="60"/>
        <v>2849.1101653510341</v>
      </c>
      <c r="AR239" s="166">
        <f t="shared" si="60"/>
        <v>2849.1101653510341</v>
      </c>
    </row>
    <row r="240" spans="2:44" s="149" customFormat="1">
      <c r="B240" s="156" t="s">
        <v>8</v>
      </c>
      <c r="C240" s="182" t="s">
        <v>139</v>
      </c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92"/>
      <c r="AI240" s="198" t="e">
        <f>AI252</f>
        <v>#N/A</v>
      </c>
      <c r="AJ240" s="202">
        <v>0</v>
      </c>
      <c r="AK240" s="203" t="e">
        <f t="shared" ref="AK240:AQ240" si="61">AK252</f>
        <v>#N/A</v>
      </c>
      <c r="AL240" s="203" t="e">
        <f t="shared" si="61"/>
        <v>#N/A</v>
      </c>
      <c r="AM240" s="203" t="e">
        <f t="shared" si="61"/>
        <v>#N/A</v>
      </c>
      <c r="AN240" s="203" t="e">
        <f t="shared" si="61"/>
        <v>#N/A</v>
      </c>
      <c r="AO240" s="203" t="e">
        <f t="shared" si="61"/>
        <v>#N/A</v>
      </c>
      <c r="AP240" s="203" t="e">
        <f t="shared" si="61"/>
        <v>#N/A</v>
      </c>
      <c r="AQ240" s="203" t="e">
        <f t="shared" si="61"/>
        <v>#N/A</v>
      </c>
      <c r="AR240" s="203">
        <v>0</v>
      </c>
    </row>
    <row r="241" spans="2:44" s="149" customFormat="1">
      <c r="B241" s="155" t="s">
        <v>9</v>
      </c>
      <c r="C241" s="184" t="s">
        <v>139</v>
      </c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93"/>
      <c r="AI241" s="198">
        <f>IF(AI$37&gt;0,(AI$37-AI253)*1000,0)</f>
        <v>1252.2006331943487</v>
      </c>
      <c r="AJ241" s="178">
        <f>-$AI241/9</f>
        <v>-139.13340368826096</v>
      </c>
      <c r="AK241" s="166">
        <f t="shared" si="60"/>
        <v>-139.13340368826096</v>
      </c>
      <c r="AL241" s="166">
        <f t="shared" si="60"/>
        <v>-139.13340368826096</v>
      </c>
      <c r="AM241" s="166">
        <f t="shared" si="60"/>
        <v>-139.13340368826096</v>
      </c>
      <c r="AN241" s="166">
        <f t="shared" si="60"/>
        <v>-139.13340368826096</v>
      </c>
      <c r="AO241" s="166">
        <f t="shared" si="60"/>
        <v>-139.13340368826096</v>
      </c>
      <c r="AP241" s="166">
        <f t="shared" si="60"/>
        <v>-139.13340368826096</v>
      </c>
      <c r="AQ241" s="166">
        <f t="shared" si="60"/>
        <v>-139.13340368826096</v>
      </c>
      <c r="AR241" s="166">
        <f t="shared" si="60"/>
        <v>-139.13340368826096</v>
      </c>
    </row>
    <row r="242" spans="2:44" s="149" customFormat="1">
      <c r="B242" s="179" t="s">
        <v>10</v>
      </c>
      <c r="C242" s="182" t="s">
        <v>139</v>
      </c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92"/>
      <c r="AI242" s="198">
        <f>IF(AI$38&gt;0,(AI$38-AI254)*1000,0)</f>
        <v>5026.0528317178487</v>
      </c>
      <c r="AJ242" s="176">
        <f t="shared" ref="AJ242:AJ245" si="62">-$AI242/9</f>
        <v>-558.45031463531654</v>
      </c>
      <c r="AK242" s="167">
        <f t="shared" si="60"/>
        <v>-558.45031463531654</v>
      </c>
      <c r="AL242" s="167">
        <f t="shared" si="60"/>
        <v>-558.45031463531654</v>
      </c>
      <c r="AM242" s="167">
        <f t="shared" si="60"/>
        <v>-558.45031463531654</v>
      </c>
      <c r="AN242" s="167">
        <f t="shared" si="60"/>
        <v>-558.45031463531654</v>
      </c>
      <c r="AO242" s="167">
        <f t="shared" si="60"/>
        <v>-558.45031463531654</v>
      </c>
      <c r="AP242" s="167">
        <f t="shared" si="60"/>
        <v>-558.45031463531654</v>
      </c>
      <c r="AQ242" s="167">
        <f t="shared" si="60"/>
        <v>-558.45031463531654</v>
      </c>
      <c r="AR242" s="167">
        <f t="shared" si="60"/>
        <v>-558.45031463531654</v>
      </c>
    </row>
    <row r="243" spans="2:44" s="149" customFormat="1">
      <c r="B243" s="155" t="s">
        <v>14</v>
      </c>
      <c r="C243" s="184" t="s">
        <v>139</v>
      </c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  <c r="AA243" s="172"/>
      <c r="AB243" s="172"/>
      <c r="AC243" s="172"/>
      <c r="AD243" s="172"/>
      <c r="AE243" s="172"/>
      <c r="AF243" s="172"/>
      <c r="AG243" s="172"/>
      <c r="AH243" s="193"/>
      <c r="AI243" s="198">
        <f>IF(AI$39&gt;0,(AI$39-AI255)*1000,0)</f>
        <v>1786.2059333942284</v>
      </c>
      <c r="AJ243" s="178">
        <f t="shared" si="62"/>
        <v>-198.46732593269203</v>
      </c>
      <c r="AK243" s="166">
        <f t="shared" si="60"/>
        <v>-198.46732593269203</v>
      </c>
      <c r="AL243" s="166">
        <f t="shared" si="60"/>
        <v>-198.46732593269203</v>
      </c>
      <c r="AM243" s="166">
        <f t="shared" si="60"/>
        <v>-198.46732593269203</v>
      </c>
      <c r="AN243" s="166">
        <f t="shared" si="60"/>
        <v>-198.46732593269203</v>
      </c>
      <c r="AO243" s="166">
        <f t="shared" si="60"/>
        <v>-198.46732593269203</v>
      </c>
      <c r="AP243" s="166">
        <f t="shared" si="60"/>
        <v>-198.46732593269203</v>
      </c>
      <c r="AQ243" s="166">
        <f t="shared" si="60"/>
        <v>-198.46732593269203</v>
      </c>
      <c r="AR243" s="166">
        <f t="shared" si="60"/>
        <v>-198.46732593269203</v>
      </c>
    </row>
    <row r="244" spans="2:44" s="149" customFormat="1">
      <c r="B244" s="156" t="s">
        <v>15</v>
      </c>
      <c r="C244" s="182" t="s">
        <v>139</v>
      </c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92"/>
      <c r="AI244" s="198">
        <f>IF(AI$40&gt;0,(AI$40-AI256)*1000,0)</f>
        <v>-5333.6476705271634</v>
      </c>
      <c r="AJ244" s="176">
        <f t="shared" si="62"/>
        <v>592.62751894746259</v>
      </c>
      <c r="AK244" s="167">
        <f t="shared" si="60"/>
        <v>592.62751894746259</v>
      </c>
      <c r="AL244" s="167">
        <f t="shared" si="60"/>
        <v>592.62751894746259</v>
      </c>
      <c r="AM244" s="167">
        <f t="shared" si="60"/>
        <v>592.62751894746259</v>
      </c>
      <c r="AN244" s="167">
        <f t="shared" si="60"/>
        <v>592.62751894746259</v>
      </c>
      <c r="AO244" s="167">
        <f t="shared" si="60"/>
        <v>592.62751894746259</v>
      </c>
      <c r="AP244" s="167">
        <f t="shared" si="60"/>
        <v>592.62751894746259</v>
      </c>
      <c r="AQ244" s="167">
        <f t="shared" si="60"/>
        <v>592.62751894746259</v>
      </c>
      <c r="AR244" s="167">
        <f t="shared" si="60"/>
        <v>592.62751894746259</v>
      </c>
    </row>
    <row r="245" spans="2:44" s="149" customFormat="1">
      <c r="B245" s="155" t="s">
        <v>16</v>
      </c>
      <c r="C245" s="184" t="s">
        <v>139</v>
      </c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93"/>
      <c r="AI245" s="198">
        <f>IF(AI$41&gt;0,(AI$41-AI257)*1000,0)</f>
        <v>-4505.952455943625</v>
      </c>
      <c r="AJ245" s="178">
        <f t="shared" si="62"/>
        <v>500.66138399373608</v>
      </c>
      <c r="AK245" s="166">
        <f t="shared" si="60"/>
        <v>500.66138399373608</v>
      </c>
      <c r="AL245" s="166">
        <f t="shared" si="60"/>
        <v>500.66138399373608</v>
      </c>
      <c r="AM245" s="166">
        <f t="shared" si="60"/>
        <v>500.66138399373608</v>
      </c>
      <c r="AN245" s="166">
        <f t="shared" si="60"/>
        <v>500.66138399373608</v>
      </c>
      <c r="AO245" s="166">
        <f t="shared" si="60"/>
        <v>500.66138399373608</v>
      </c>
      <c r="AP245" s="166">
        <f t="shared" si="60"/>
        <v>500.66138399373608</v>
      </c>
      <c r="AQ245" s="166">
        <f t="shared" si="60"/>
        <v>500.66138399373608</v>
      </c>
      <c r="AR245" s="166">
        <f t="shared" si="60"/>
        <v>500.66138399373608</v>
      </c>
    </row>
    <row r="246" spans="2:44" s="149" customFormat="1">
      <c r="B246" s="156" t="s">
        <v>72</v>
      </c>
      <c r="C246" s="182" t="s">
        <v>139</v>
      </c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81"/>
      <c r="AI246" s="180"/>
      <c r="AJ246" s="176"/>
      <c r="AK246" s="167"/>
      <c r="AL246" s="167"/>
      <c r="AM246" s="167"/>
      <c r="AN246" s="167"/>
      <c r="AO246" s="167"/>
      <c r="AP246" s="167"/>
      <c r="AQ246" s="167"/>
      <c r="AR246" s="167"/>
    </row>
    <row r="247" spans="2:44" s="149" customFormat="1" ht="15.75" thickBot="1">
      <c r="B247" s="155" t="s">
        <v>8</v>
      </c>
      <c r="C247" s="159" t="s">
        <v>190</v>
      </c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94"/>
      <c r="AI247" s="199">
        <f>IF(AI$36&gt;0,(AI$36-AI259)*1000,0)</f>
        <v>-23366.850759995003</v>
      </c>
      <c r="AJ247" s="178">
        <f>-$AI247/9</f>
        <v>2596.3167511105557</v>
      </c>
      <c r="AK247" s="166">
        <f>-$AI247/9</f>
        <v>2596.3167511105557</v>
      </c>
      <c r="AL247" s="166">
        <f t="shared" si="60"/>
        <v>2596.3167511105557</v>
      </c>
      <c r="AM247" s="166">
        <f t="shared" si="60"/>
        <v>2596.3167511105557</v>
      </c>
      <c r="AN247" s="166">
        <f t="shared" si="60"/>
        <v>2596.3167511105557</v>
      </c>
      <c r="AO247" s="166">
        <f t="shared" si="60"/>
        <v>2596.3167511105557</v>
      </c>
      <c r="AP247" s="166">
        <f t="shared" si="60"/>
        <v>2596.3167511105557</v>
      </c>
      <c r="AQ247" s="166">
        <f t="shared" si="60"/>
        <v>2596.3167511105557</v>
      </c>
      <c r="AR247" s="166">
        <f t="shared" si="60"/>
        <v>2596.3167511105557</v>
      </c>
    </row>
    <row r="248" spans="2:44" s="149" customFormat="1">
      <c r="C248" s="161"/>
      <c r="AJ248" s="204" t="s">
        <v>99</v>
      </c>
      <c r="AK248" s="204" t="s">
        <v>99</v>
      </c>
      <c r="AL248" s="204" t="s">
        <v>99</v>
      </c>
      <c r="AM248" s="204" t="s">
        <v>99</v>
      </c>
      <c r="AN248" s="204" t="s">
        <v>99</v>
      </c>
      <c r="AO248" s="204" t="s">
        <v>99</v>
      </c>
      <c r="AP248" s="204" t="s">
        <v>99</v>
      </c>
      <c r="AQ248" s="204" t="s">
        <v>99</v>
      </c>
      <c r="AR248" s="204" t="s">
        <v>99</v>
      </c>
    </row>
    <row r="249" spans="2:44">
      <c r="B249" s="173" t="s">
        <v>188</v>
      </c>
      <c r="C249" s="162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</row>
    <row r="250" spans="2:44">
      <c r="B250" s="150" t="s">
        <v>66</v>
      </c>
      <c r="C250" s="157"/>
      <c r="D250" s="154">
        <v>32874</v>
      </c>
      <c r="E250" s="154">
        <v>33239</v>
      </c>
      <c r="F250" s="154">
        <v>33604</v>
      </c>
      <c r="G250" s="154">
        <v>33970</v>
      </c>
      <c r="H250" s="154">
        <v>34335</v>
      </c>
      <c r="I250" s="154">
        <v>34700</v>
      </c>
      <c r="J250" s="154">
        <v>35065</v>
      </c>
      <c r="K250" s="154">
        <v>35431</v>
      </c>
      <c r="L250" s="154">
        <v>35796</v>
      </c>
      <c r="M250" s="154">
        <v>36161</v>
      </c>
      <c r="N250" s="154">
        <v>36526</v>
      </c>
      <c r="O250" s="154">
        <v>36892</v>
      </c>
      <c r="P250" s="154">
        <v>37257</v>
      </c>
      <c r="Q250" s="154">
        <v>37622</v>
      </c>
      <c r="R250" s="154">
        <v>37987</v>
      </c>
      <c r="S250" s="154">
        <v>38353</v>
      </c>
      <c r="T250" s="154">
        <v>38718</v>
      </c>
      <c r="U250" s="154">
        <v>39083</v>
      </c>
      <c r="V250" s="154">
        <v>39448</v>
      </c>
      <c r="W250" s="154">
        <v>39814</v>
      </c>
      <c r="X250" s="154">
        <v>40179</v>
      </c>
      <c r="Y250" s="154">
        <v>40544</v>
      </c>
      <c r="Z250" s="154">
        <v>40909</v>
      </c>
      <c r="AA250" s="154">
        <v>41275</v>
      </c>
      <c r="AB250" s="154">
        <v>41640</v>
      </c>
      <c r="AC250" s="154">
        <v>42005</v>
      </c>
      <c r="AD250" s="154">
        <v>42370</v>
      </c>
      <c r="AE250" s="154">
        <v>42736</v>
      </c>
      <c r="AF250" s="154">
        <v>43101</v>
      </c>
      <c r="AG250" s="154">
        <v>43466</v>
      </c>
      <c r="AH250" s="154">
        <v>43831</v>
      </c>
      <c r="AI250" s="154">
        <v>44197</v>
      </c>
      <c r="AJ250" s="154">
        <v>44562</v>
      </c>
      <c r="AK250" s="154">
        <v>44927</v>
      </c>
      <c r="AL250" s="154">
        <v>45292</v>
      </c>
      <c r="AM250" s="154">
        <v>45658</v>
      </c>
      <c r="AN250" s="154">
        <v>46023</v>
      </c>
      <c r="AO250" s="154">
        <v>46388</v>
      </c>
      <c r="AP250" s="154">
        <v>46753</v>
      </c>
      <c r="AQ250" s="154">
        <v>47119</v>
      </c>
      <c r="AR250" s="154">
        <v>47484</v>
      </c>
    </row>
    <row r="251" spans="2:44" s="149" customFormat="1">
      <c r="B251" s="155" t="s">
        <v>189</v>
      </c>
      <c r="C251" s="184" t="s">
        <v>173</v>
      </c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85">
        <v>813</v>
      </c>
      <c r="AI251" s="185">
        <v>786</v>
      </c>
      <c r="AJ251" s="185">
        <v>756</v>
      </c>
      <c r="AK251" s="185">
        <v>720</v>
      </c>
      <c r="AL251" s="185">
        <v>682</v>
      </c>
      <c r="AM251" s="185">
        <v>643</v>
      </c>
      <c r="AN251" s="185">
        <v>604</v>
      </c>
      <c r="AO251" s="185">
        <v>565</v>
      </c>
      <c r="AP251" s="185">
        <v>523</v>
      </c>
      <c r="AQ251" s="185">
        <v>482</v>
      </c>
      <c r="AR251" s="185">
        <v>438</v>
      </c>
    </row>
    <row r="252" spans="2:44">
      <c r="B252" s="156" t="s">
        <v>8</v>
      </c>
      <c r="C252" s="182" t="s">
        <v>138</v>
      </c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32">
        <v>280</v>
      </c>
      <c r="AI252" s="183" t="e">
        <v>#N/A</v>
      </c>
      <c r="AJ252" s="132">
        <v>257</v>
      </c>
      <c r="AK252" s="183" t="e">
        <v>#N/A</v>
      </c>
      <c r="AL252" s="183" t="e">
        <v>#N/A</v>
      </c>
      <c r="AM252" s="183" t="e">
        <v>#N/A</v>
      </c>
      <c r="AN252" s="183" t="e">
        <v>#N/A</v>
      </c>
      <c r="AO252" s="183" t="e">
        <v>#N/A</v>
      </c>
      <c r="AP252" s="183" t="e">
        <v>#N/A</v>
      </c>
      <c r="AQ252" s="183" t="e">
        <v>#N/A</v>
      </c>
      <c r="AR252" s="132">
        <v>108</v>
      </c>
    </row>
    <row r="253" spans="2:44">
      <c r="B253" s="155" t="s">
        <v>9</v>
      </c>
      <c r="C253" s="184" t="s">
        <v>138</v>
      </c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85">
        <v>186</v>
      </c>
      <c r="AI253" s="185">
        <v>182</v>
      </c>
      <c r="AJ253" s="185">
        <v>177</v>
      </c>
      <c r="AK253" s="185">
        <v>172</v>
      </c>
      <c r="AL253" s="185">
        <v>165</v>
      </c>
      <c r="AM253" s="185">
        <v>157</v>
      </c>
      <c r="AN253" s="185">
        <v>149</v>
      </c>
      <c r="AO253" s="185">
        <v>140</v>
      </c>
      <c r="AP253" s="185">
        <v>132</v>
      </c>
      <c r="AQ253" s="185">
        <v>125</v>
      </c>
      <c r="AR253" s="185">
        <v>118</v>
      </c>
    </row>
    <row r="254" spans="2:44">
      <c r="B254" s="179" t="s">
        <v>10</v>
      </c>
      <c r="C254" s="182" t="s">
        <v>138</v>
      </c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83">
        <v>118</v>
      </c>
      <c r="AI254" s="183">
        <v>113</v>
      </c>
      <c r="AJ254" s="183">
        <v>108</v>
      </c>
      <c r="AK254" s="183">
        <v>102</v>
      </c>
      <c r="AL254" s="183">
        <v>97</v>
      </c>
      <c r="AM254" s="183">
        <v>92</v>
      </c>
      <c r="AN254" s="183">
        <v>87</v>
      </c>
      <c r="AO254" s="183">
        <v>82</v>
      </c>
      <c r="AP254" s="183">
        <v>77</v>
      </c>
      <c r="AQ254" s="183">
        <v>72</v>
      </c>
      <c r="AR254" s="183">
        <v>67</v>
      </c>
    </row>
    <row r="255" spans="2:44">
      <c r="B255" s="155" t="s">
        <v>14</v>
      </c>
      <c r="C255" s="184" t="s">
        <v>138</v>
      </c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  <c r="AG255" s="172"/>
      <c r="AH255" s="185">
        <v>150</v>
      </c>
      <c r="AI255" s="185">
        <v>145</v>
      </c>
      <c r="AJ255" s="185">
        <v>139</v>
      </c>
      <c r="AK255" s="185">
        <v>134</v>
      </c>
      <c r="AL255" s="185">
        <v>128</v>
      </c>
      <c r="AM255" s="185">
        <v>123</v>
      </c>
      <c r="AN255" s="185">
        <v>117</v>
      </c>
      <c r="AO255" s="185">
        <v>112</v>
      </c>
      <c r="AP255" s="185">
        <v>105</v>
      </c>
      <c r="AQ255" s="185">
        <v>96</v>
      </c>
      <c r="AR255" s="185">
        <v>85</v>
      </c>
    </row>
    <row r="256" spans="2:44">
      <c r="B256" s="156" t="s">
        <v>15</v>
      </c>
      <c r="C256" s="182" t="s">
        <v>138</v>
      </c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83">
        <v>70</v>
      </c>
      <c r="AI256" s="183">
        <v>68</v>
      </c>
      <c r="AJ256" s="183">
        <v>67</v>
      </c>
      <c r="AK256" s="183">
        <v>66</v>
      </c>
      <c r="AL256" s="183">
        <v>65</v>
      </c>
      <c r="AM256" s="183">
        <v>63</v>
      </c>
      <c r="AN256" s="183">
        <v>62</v>
      </c>
      <c r="AO256" s="183">
        <v>61</v>
      </c>
      <c r="AP256" s="183">
        <v>59</v>
      </c>
      <c r="AQ256" s="183">
        <v>57</v>
      </c>
      <c r="AR256" s="183">
        <v>56</v>
      </c>
    </row>
    <row r="257" spans="2:44">
      <c r="B257" s="155" t="s">
        <v>16</v>
      </c>
      <c r="C257" s="184" t="s">
        <v>138</v>
      </c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85">
        <v>9</v>
      </c>
      <c r="AI257" s="185">
        <v>9</v>
      </c>
      <c r="AJ257" s="185">
        <v>8</v>
      </c>
      <c r="AK257" s="185">
        <v>8</v>
      </c>
      <c r="AL257" s="185">
        <v>7</v>
      </c>
      <c r="AM257" s="185">
        <v>7</v>
      </c>
      <c r="AN257" s="185">
        <v>6</v>
      </c>
      <c r="AO257" s="185">
        <v>6</v>
      </c>
      <c r="AP257" s="185">
        <v>5</v>
      </c>
      <c r="AQ257" s="185">
        <v>5</v>
      </c>
      <c r="AR257" s="185">
        <v>4</v>
      </c>
    </row>
    <row r="258" spans="2:44">
      <c r="B258" s="156" t="s">
        <v>72</v>
      </c>
      <c r="C258" s="182" t="s">
        <v>138</v>
      </c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70"/>
      <c r="AI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</row>
    <row r="259" spans="2:44">
      <c r="B259" s="155" t="s">
        <v>8</v>
      </c>
      <c r="C259" s="159" t="s">
        <v>190</v>
      </c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32">
        <v>280</v>
      </c>
      <c r="AI259" s="183">
        <f>(AH259+AJ259)/2</f>
        <v>268.5</v>
      </c>
      <c r="AJ259" s="132">
        <v>257</v>
      </c>
      <c r="AK259" s="183">
        <f>$AJ$252-1*($AJ$252-$AR$252)/8</f>
        <v>238.375</v>
      </c>
      <c r="AL259" s="183">
        <f>$AJ$252-2*($AJ$252-$AR$252)/8</f>
        <v>219.75</v>
      </c>
      <c r="AM259" s="183">
        <f>$AJ$252-3*($AJ$252-$AR$252)/8</f>
        <v>201.125</v>
      </c>
      <c r="AN259" s="183">
        <f>$AJ$252-4*($AJ$252-$AR$252)/8</f>
        <v>182.5</v>
      </c>
      <c r="AO259" s="183">
        <f>$AJ$252-5*($AJ$252-$AR$252)/8</f>
        <v>163.875</v>
      </c>
      <c r="AP259" s="183">
        <f>$AJ$252-6*($AJ$252-$AR$252)/8</f>
        <v>145.25</v>
      </c>
      <c r="AQ259" s="183">
        <f>$AJ$252-7*($AJ$252-$AR$252)/8</f>
        <v>126.625</v>
      </c>
      <c r="AR259" s="132">
        <v>108</v>
      </c>
    </row>
    <row r="260" spans="2:44">
      <c r="B260" s="155" t="s">
        <v>187</v>
      </c>
      <c r="C260" s="159" t="s">
        <v>186</v>
      </c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71">
        <f>AH252-SUM(AH254:AH258)</f>
        <v>-67</v>
      </c>
      <c r="AI260" s="171" t="e">
        <f>AI252-SUM(AI254:AI258)</f>
        <v>#N/A</v>
      </c>
      <c r="AJ260" s="171">
        <f>AJ252-SUM(AJ254:AJ258)</f>
        <v>-65</v>
      </c>
      <c r="AK260" s="171" t="e">
        <f t="shared" ref="AK260:AR260" si="63">AK252-SUM(AK254:AK258)</f>
        <v>#N/A</v>
      </c>
      <c r="AL260" s="171" t="e">
        <f t="shared" si="63"/>
        <v>#N/A</v>
      </c>
      <c r="AM260" s="171" t="e">
        <f t="shared" si="63"/>
        <v>#N/A</v>
      </c>
      <c r="AN260" s="171" t="e">
        <f t="shared" si="63"/>
        <v>#N/A</v>
      </c>
      <c r="AO260" s="171" t="e">
        <f t="shared" si="63"/>
        <v>#N/A</v>
      </c>
      <c r="AP260" s="171" t="e">
        <f t="shared" si="63"/>
        <v>#N/A</v>
      </c>
      <c r="AQ260" s="171" t="e">
        <f t="shared" si="63"/>
        <v>#N/A</v>
      </c>
      <c r="AR260" s="171">
        <f t="shared" si="63"/>
        <v>-104</v>
      </c>
    </row>
  </sheetData>
  <mergeCells count="2">
    <mergeCell ref="AH31:AI31"/>
    <mergeCell ref="AH44:AI44"/>
  </mergeCells>
  <phoneticPr fontId="45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FE12-165D-45D3-8D4C-1C297CA47A46}">
  <sheetPr>
    <tabColor theme="7" tint="0.5999938962981048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221"/>
      <c r="E22" s="56"/>
      <c r="F22" s="221"/>
      <c r="G22" s="56"/>
      <c r="H22" s="221"/>
      <c r="I22" s="56"/>
      <c r="J22" s="221"/>
      <c r="K22" s="56"/>
      <c r="L22" s="221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0523-20D8-4E93-8552-B72889956EDD}">
  <sheetPr>
    <tabColor theme="7" tint="0.5999938962981048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217"/>
      <c r="E22" s="56"/>
      <c r="F22" s="217"/>
      <c r="G22" s="56"/>
      <c r="H22" s="217"/>
      <c r="I22" s="56"/>
      <c r="J22" s="217"/>
      <c r="K22" s="56"/>
      <c r="L22" s="217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CC94-A67E-41B8-A39E-20EDFC2B7091}">
  <sheetPr>
    <tabColor theme="4"/>
  </sheetPr>
  <dimension ref="B1:AR18"/>
  <sheetViews>
    <sheetView showGridLines="0" zoomScale="85" zoomScaleNormal="85" zoomScalePageLayoutView="150" workbookViewId="0">
      <pane xSplit="3" ySplit="9" topLeftCell="D10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117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113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114</v>
      </c>
      <c r="C5" s="187" t="s">
        <v>115</v>
      </c>
      <c r="D5" s="188"/>
      <c r="E5" s="188"/>
      <c r="F5" s="188"/>
      <c r="G5" s="188"/>
      <c r="H5" s="188"/>
      <c r="I5" s="188"/>
      <c r="J5" s="188"/>
      <c r="K5" s="96"/>
    </row>
    <row r="6" spans="2:44" s="82" customFormat="1" ht="23.25" customHeight="1">
      <c r="B6" s="78" t="s">
        <v>51</v>
      </c>
      <c r="C6" s="94" t="s">
        <v>63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50</v>
      </c>
      <c r="C7" s="94"/>
      <c r="D7" s="95"/>
      <c r="E7" s="95"/>
      <c r="F7" s="95"/>
      <c r="G7" s="95"/>
      <c r="H7" s="95"/>
      <c r="I7" s="95"/>
      <c r="J7" s="95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66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19.5" customHeight="1">
      <c r="B12" s="116" t="str">
        <f>THG!B10</f>
        <v>CRF 1.A.1 - Energiewirtschaft</v>
      </c>
      <c r="C12" s="14" t="s">
        <v>61</v>
      </c>
      <c r="D12" s="99">
        <f>(THG!C10)/1000</f>
        <v>431.0829073896561</v>
      </c>
      <c r="E12" s="99">
        <f>(THG!D10)/1000</f>
        <v>417.23936685681116</v>
      </c>
      <c r="F12" s="99">
        <f>(THG!E10)/1000</f>
        <v>395.54559395169616</v>
      </c>
      <c r="G12" s="99">
        <f>(THG!F10)/1000</f>
        <v>384.45307304713197</v>
      </c>
      <c r="H12" s="99">
        <f>(THG!G10)/1000</f>
        <v>381.96168321181256</v>
      </c>
      <c r="I12" s="99">
        <f>(THG!H10)/1000</f>
        <v>370.19209022787948</v>
      </c>
      <c r="J12" s="99">
        <f>(THG!I10)/1000</f>
        <v>377.04969211686978</v>
      </c>
      <c r="K12" s="99">
        <f>(THG!J10)/1000</f>
        <v>355.96913829080091</v>
      </c>
      <c r="L12" s="99">
        <f>(THG!K10)/1000</f>
        <v>358.86167672242988</v>
      </c>
      <c r="M12" s="99">
        <f>(THG!L10)/1000</f>
        <v>346.76542246080032</v>
      </c>
      <c r="N12" s="99">
        <f>(THG!M10)/1000</f>
        <v>359.790519986481</v>
      </c>
      <c r="O12" s="99">
        <f>(THG!N10)/1000</f>
        <v>372.36915409815606</v>
      </c>
      <c r="P12" s="99">
        <f>(THG!O10)/1000</f>
        <v>373.79560706243274</v>
      </c>
      <c r="Q12" s="99">
        <f>(THG!P10)/1000</f>
        <v>392.02398783130849</v>
      </c>
      <c r="R12" s="99">
        <f>(THG!Q10)/1000</f>
        <v>389.75878249834074</v>
      </c>
      <c r="S12" s="99">
        <f>(THG!R10)/1000</f>
        <v>382.84136623946671</v>
      </c>
      <c r="T12" s="99">
        <f>(THG!S10)/1000</f>
        <v>385.17221422125601</v>
      </c>
      <c r="U12" s="99">
        <f>(THG!T10)/1000</f>
        <v>389.76552607134465</v>
      </c>
      <c r="V12" s="99">
        <f>(THG!U10)/1000</f>
        <v>372.49571678637358</v>
      </c>
      <c r="W12" s="99">
        <f>(THG!V10)/1000</f>
        <v>348.4685189670443</v>
      </c>
      <c r="X12" s="99">
        <f>(THG!W10)/1000</f>
        <v>359.47744399105966</v>
      </c>
      <c r="Y12" s="99">
        <f>(THG!X10)/1000</f>
        <v>355.22484183579093</v>
      </c>
      <c r="Z12" s="99">
        <f>(THG!Y10)/1000</f>
        <v>366.47716448913445</v>
      </c>
      <c r="AA12" s="99">
        <f>(THG!Z10)/1000</f>
        <v>371.69209207023863</v>
      </c>
      <c r="AB12" s="99">
        <f>(THG!AA10)/1000</f>
        <v>351.98572679619173</v>
      </c>
      <c r="AC12" s="99">
        <f>(THG!AB10)/1000</f>
        <v>340.78685478773968</v>
      </c>
      <c r="AD12" s="99">
        <f>(THG!AC10)/1000</f>
        <v>336.70113727171446</v>
      </c>
      <c r="AE12" s="99">
        <f>(THG!AD10)/1000</f>
        <v>317.36104772226355</v>
      </c>
      <c r="AF12" s="99">
        <f>(THG!AE10)/1000</f>
        <v>303.70409732917454</v>
      </c>
      <c r="AG12" s="99">
        <f>(THG!AF10)/1000</f>
        <v>253.25889596900404</v>
      </c>
      <c r="AH12" s="170">
        <f>(THG!AG10)/1000</f>
        <v>215.22405890159445</v>
      </c>
      <c r="AI12" s="170">
        <f>(THG!AH10)/1000</f>
        <v>242.92982894524985</v>
      </c>
      <c r="AJ12" s="170">
        <f>(THG!AI10)/1000</f>
        <v>252.95325482536489</v>
      </c>
      <c r="AK12" s="170">
        <f>(THG!AJ10)/1000</f>
        <v>200.28858989840637</v>
      </c>
      <c r="AL12" s="170">
        <f>(THG!AK10)/1000</f>
        <v>185.37373865575447</v>
      </c>
      <c r="AM12" s="170">
        <f>(THG!AL10)/1000</f>
        <v>184.68844518978736</v>
      </c>
      <c r="AN12" s="28"/>
      <c r="AO12" s="28"/>
      <c r="AP12" s="28"/>
      <c r="AQ12" s="28"/>
      <c r="AR12" s="28"/>
    </row>
    <row r="13" spans="2:44" ht="19.5" customHeight="1">
      <c r="B13" s="117" t="str">
        <f>THG!B11</f>
        <v>CRF 1.A.3.e - Erdgasverdichter</v>
      </c>
      <c r="C13" s="88" t="s">
        <v>61</v>
      </c>
      <c r="D13" s="100">
        <f>(THG!C11)/1000</f>
        <v>1.10210405696</v>
      </c>
      <c r="E13" s="100">
        <f>(THG!D11)/1000</f>
        <v>1.1588224344799998</v>
      </c>
      <c r="F13" s="100">
        <f>(THG!E11)/1000</f>
        <v>1.1462562217999999</v>
      </c>
      <c r="G13" s="100">
        <f>(THG!F11)/1000</f>
        <v>1.2123214122399997</v>
      </c>
      <c r="H13" s="100">
        <f>(THG!G11)/1000</f>
        <v>1.2340664028799999</v>
      </c>
      <c r="I13" s="100">
        <f>(THG!H11)/1000</f>
        <v>1.3467070515999999</v>
      </c>
      <c r="J13" s="100">
        <f>(THG!I11)/1000</f>
        <v>1.506574448991111</v>
      </c>
      <c r="K13" s="100">
        <f>(THG!J11)/1000</f>
        <v>1.438946381291111</v>
      </c>
      <c r="L13" s="100">
        <f>(THG!K11)/1000</f>
        <v>1.4501051676533332</v>
      </c>
      <c r="M13" s="100">
        <f>(THG!L11)/1000</f>
        <v>1.444711794611111</v>
      </c>
      <c r="N13" s="100">
        <f>(THG!M11)/1000</f>
        <v>1.4314026897155554</v>
      </c>
      <c r="O13" s="100">
        <f>(THG!N11)/1000</f>
        <v>1.5100546278799998</v>
      </c>
      <c r="P13" s="100">
        <f>(THG!O11)/1000</f>
        <v>1.6219908855466669</v>
      </c>
      <c r="Q13" s="100">
        <f>(THG!P11)/1000</f>
        <v>1.5247198654133332</v>
      </c>
      <c r="R13" s="100">
        <f>(THG!Q11)/1000</f>
        <v>1.5354171847999998</v>
      </c>
      <c r="S13" s="100">
        <f>(THG!R11)/1000</f>
        <v>1.5007582990093968</v>
      </c>
      <c r="T13" s="100">
        <f>(THG!S11)/1000</f>
        <v>1.6931054120679665</v>
      </c>
      <c r="U13" s="100">
        <f>(THG!T11)/1000</f>
        <v>1.3820531606745299</v>
      </c>
      <c r="V13" s="100">
        <f>(THG!U11)/1000</f>
        <v>1.45190294567175</v>
      </c>
      <c r="W13" s="100">
        <f>(THG!V11)/1000</f>
        <v>1.3694620426201034</v>
      </c>
      <c r="X13" s="100">
        <f>(THG!W11)/1000</f>
        <v>1.1911170131017597</v>
      </c>
      <c r="Y13" s="100">
        <f>(THG!X11)/1000</f>
        <v>1.2433536741696603</v>
      </c>
      <c r="Z13" s="100">
        <f>(THG!Y11)/1000</f>
        <v>1.2525282991120799</v>
      </c>
      <c r="AA13" s="100">
        <f>(THG!Z11)/1000</f>
        <v>1.4891872567044371</v>
      </c>
      <c r="AB13" s="100">
        <f>(THG!AA11)/1000</f>
        <v>1.21085578600882</v>
      </c>
      <c r="AC13" s="100">
        <f>(THG!AB11)/1000</f>
        <v>1.2472838774839599</v>
      </c>
      <c r="AD13" s="100">
        <f>(THG!AC11)/1000</f>
        <v>1.0601526192433401</v>
      </c>
      <c r="AE13" s="100">
        <f>(THG!AD11)/1000</f>
        <v>1.26824681220186</v>
      </c>
      <c r="AF13" s="100">
        <f>(THG!AE11)/1000</f>
        <v>1.3469831013109099</v>
      </c>
      <c r="AG13" s="100">
        <f>(THG!AF11)/1000</f>
        <v>1.2098986901477897</v>
      </c>
      <c r="AH13" s="171">
        <f>(THG!AG11)/1000</f>
        <v>0.77768307961819971</v>
      </c>
      <c r="AI13" s="171">
        <f>(THG!AH11)/1000</f>
        <v>0.84724022320094006</v>
      </c>
      <c r="AJ13" s="171">
        <f>(THG!AI11)/1000</f>
        <v>1.3453856555505599</v>
      </c>
      <c r="AK13" s="171">
        <f>(THG!AJ11)/1000</f>
        <v>0.9483268295262397</v>
      </c>
      <c r="AL13" s="171">
        <f>(THG!AK11)/1000</f>
        <v>0.6838217693514399</v>
      </c>
      <c r="AM13" s="171">
        <f>(THG!AL11)/1000</f>
        <v>0.77135139806571995</v>
      </c>
      <c r="AN13" s="90"/>
      <c r="AO13" s="90"/>
      <c r="AP13" s="90"/>
      <c r="AQ13" s="90"/>
      <c r="AR13" s="90"/>
    </row>
    <row r="14" spans="2:44" ht="19.5" customHeight="1">
      <c r="B14" s="116" t="str">
        <f>THG!B12</f>
        <v>CRF 1.B - Diffuse Emissionen aus Brennstoffen</v>
      </c>
      <c r="C14" s="14" t="s">
        <v>61</v>
      </c>
      <c r="D14" s="99">
        <f>(THG!C12)/1000</f>
        <v>42.591791932102176</v>
      </c>
      <c r="E14" s="99">
        <f>(THG!D12)/1000</f>
        <v>41.551507649777321</v>
      </c>
      <c r="F14" s="99">
        <f>(THG!E12)/1000</f>
        <v>38.988038448820149</v>
      </c>
      <c r="G14" s="99">
        <f>(THG!F12)/1000</f>
        <v>40.264471472854517</v>
      </c>
      <c r="H14" s="99">
        <f>(THG!G12)/1000</f>
        <v>36.82336274723405</v>
      </c>
      <c r="I14" s="99">
        <f>(THG!H12)/1000</f>
        <v>35.40200436132001</v>
      </c>
      <c r="J14" s="99">
        <f>(THG!I12)/1000</f>
        <v>34.320718101248239</v>
      </c>
      <c r="K14" s="99">
        <f>(THG!J12)/1000</f>
        <v>33.605805559667161</v>
      </c>
      <c r="L14" s="99">
        <f>(THG!K12)/1000</f>
        <v>30.652553664313054</v>
      </c>
      <c r="M14" s="99">
        <f>(THG!L12)/1000</f>
        <v>31.782489208728208</v>
      </c>
      <c r="N14" s="99">
        <f>(THG!M12)/1000</f>
        <v>29.626386612089746</v>
      </c>
      <c r="O14" s="99">
        <f>(THG!N12)/1000</f>
        <v>26.966795610333655</v>
      </c>
      <c r="P14" s="99">
        <f>(THG!O12)/1000</f>
        <v>25.543270865540954</v>
      </c>
      <c r="Q14" s="99">
        <f>(THG!P12)/1000</f>
        <v>23.428916452045559</v>
      </c>
      <c r="R14" s="99">
        <f>(THG!Q12)/1000</f>
        <v>20.302091025900378</v>
      </c>
      <c r="S14" s="99">
        <f>(THG!R12)/1000</f>
        <v>18.262754740157508</v>
      </c>
      <c r="T14" s="99">
        <f>(THG!S12)/1000</f>
        <v>16.261524548059455</v>
      </c>
      <c r="U14" s="99">
        <f>(THG!T12)/1000</f>
        <v>14.63183413717092</v>
      </c>
      <c r="V14" s="99">
        <f>(THG!U12)/1000</f>
        <v>14.072744303790941</v>
      </c>
      <c r="W14" s="99">
        <f>(THG!V12)/1000</f>
        <v>12.214539214281411</v>
      </c>
      <c r="X14" s="99">
        <f>(THG!W12)/1000</f>
        <v>11.920216327139897</v>
      </c>
      <c r="Y14" s="99">
        <f>(THG!X12)/1000</f>
        <v>11.468699234225962</v>
      </c>
      <c r="Z14" s="99">
        <f>(THG!Y12)/1000</f>
        <v>12.054281885472271</v>
      </c>
      <c r="AA14" s="99">
        <f>(THG!Z12)/1000</f>
        <v>11.187117103277858</v>
      </c>
      <c r="AB14" s="99">
        <f>(THG!AA12)/1000</f>
        <v>9.8255207325149172</v>
      </c>
      <c r="AC14" s="99">
        <f>(THG!AB12)/1000</f>
        <v>9.6579892108982275</v>
      </c>
      <c r="AD14" s="99">
        <f>(THG!AC12)/1000</f>
        <v>8.6273710751384947</v>
      </c>
      <c r="AE14" s="99">
        <f>(THG!AD12)/1000</f>
        <v>8.2269089279924756</v>
      </c>
      <c r="AF14" s="99">
        <f>(THG!AE12)/1000</f>
        <v>6.6509627281306409</v>
      </c>
      <c r="AG14" s="99">
        <f>(THG!AF12)/1000</f>
        <v>4.7088170272567815</v>
      </c>
      <c r="AH14" s="170">
        <f>(THG!AG12)/1000</f>
        <v>4.093466521955901</v>
      </c>
      <c r="AI14" s="170">
        <f>(THG!AH12)/1000</f>
        <v>4.0054147105718103</v>
      </c>
      <c r="AJ14" s="170">
        <f>(THG!AI12)/1000</f>
        <v>3.7692734431557229</v>
      </c>
      <c r="AK14" s="170">
        <f>(THG!AJ12)/1000</f>
        <v>3.5919720365301688</v>
      </c>
      <c r="AL14" s="170">
        <f>(THG!AK12)/1000</f>
        <v>3.6410312901736641</v>
      </c>
      <c r="AM14" s="170">
        <f>(THG!AL12)/1000</f>
        <v>3.6281563503115524</v>
      </c>
      <c r="AN14" s="28"/>
      <c r="AO14" s="28"/>
      <c r="AP14" s="28"/>
      <c r="AQ14" s="28"/>
      <c r="AR14" s="28"/>
    </row>
    <row r="15" spans="2:44" ht="19.5" customHeight="1">
      <c r="B15" s="6" t="s">
        <v>8</v>
      </c>
      <c r="C15" s="21" t="s">
        <v>61</v>
      </c>
      <c r="D15" s="81">
        <f>(THG!C9)/1000</f>
        <v>474.77680337871828</v>
      </c>
      <c r="E15" s="81">
        <f>(THG!D9)/1000</f>
        <v>459.94969694106851</v>
      </c>
      <c r="F15" s="81">
        <f>(THG!E9)/1000</f>
        <v>435.6798886223163</v>
      </c>
      <c r="G15" s="81">
        <f>(THG!F9)/1000</f>
        <v>425.92986593222639</v>
      </c>
      <c r="H15" s="81">
        <f>(THG!G9)/1000</f>
        <v>420.01911236192666</v>
      </c>
      <c r="I15" s="81">
        <f>(THG!H9)/1000</f>
        <v>406.94080164079946</v>
      </c>
      <c r="J15" s="81">
        <f>(THG!I9)/1000</f>
        <v>412.87698466710913</v>
      </c>
      <c r="K15" s="81">
        <f>(THG!J9)/1000</f>
        <v>391.01389023175915</v>
      </c>
      <c r="L15" s="81">
        <f>(THG!K9)/1000</f>
        <v>390.96433555439626</v>
      </c>
      <c r="M15" s="81">
        <f>(THG!L9)/1000</f>
        <v>379.99262346413963</v>
      </c>
      <c r="N15" s="81">
        <f>(THG!M9)/1000</f>
        <v>390.84830928828632</v>
      </c>
      <c r="O15" s="81">
        <f>(THG!N9)/1000</f>
        <v>400.84600433636973</v>
      </c>
      <c r="P15" s="81">
        <f>(THG!O9)/1000</f>
        <v>400.96086881352034</v>
      </c>
      <c r="Q15" s="81">
        <f>(THG!P9)/1000</f>
        <v>416.9776241487674</v>
      </c>
      <c r="R15" s="81">
        <f>(THG!Q9)/1000</f>
        <v>411.59629070904117</v>
      </c>
      <c r="S15" s="81">
        <f>(THG!R9)/1000</f>
        <v>402.60487927863363</v>
      </c>
      <c r="T15" s="81">
        <f>(THG!S9)/1000</f>
        <v>403.12684418138343</v>
      </c>
      <c r="U15" s="81">
        <f>(THG!T9)/1000</f>
        <v>405.77941336919014</v>
      </c>
      <c r="V15" s="81">
        <f>(THG!U9)/1000</f>
        <v>388.02036403583628</v>
      </c>
      <c r="W15" s="81">
        <f>(THG!V9)/1000</f>
        <v>362.05252022394586</v>
      </c>
      <c r="X15" s="81">
        <f>(THG!W9)/1000</f>
        <v>372.58877733130129</v>
      </c>
      <c r="Y15" s="81">
        <f>(THG!X9)/1000</f>
        <v>367.93689474418659</v>
      </c>
      <c r="Z15" s="81">
        <f>(THG!Y9)/1000</f>
        <v>379.78397467371877</v>
      </c>
      <c r="AA15" s="81">
        <f>(THG!Z9)/1000</f>
        <v>384.36839643022091</v>
      </c>
      <c r="AB15" s="81">
        <f>(THG!AA9)/1000</f>
        <v>363.02210331471542</v>
      </c>
      <c r="AC15" s="81">
        <f>(THG!AB9)/1000</f>
        <v>351.6921278761219</v>
      </c>
      <c r="AD15" s="81">
        <f>(THG!AC9)/1000</f>
        <v>346.38866096609632</v>
      </c>
      <c r="AE15" s="81">
        <f>(THG!AD9)/1000</f>
        <v>326.85620346245787</v>
      </c>
      <c r="AF15" s="81">
        <f>(THG!AE9)/1000</f>
        <v>311.70204315861605</v>
      </c>
      <c r="AG15" s="81">
        <f>(THG!AF9)/1000</f>
        <v>259.17761168640862</v>
      </c>
      <c r="AH15" s="169">
        <f>(THG!AG9)/1000</f>
        <v>220.09520850316858</v>
      </c>
      <c r="AI15" s="169">
        <f>(THG!AH9)/1000</f>
        <v>247.78248387902258</v>
      </c>
      <c r="AJ15" s="169">
        <f>(THG!AI9)/1000</f>
        <v>258.06791392407115</v>
      </c>
      <c r="AK15" s="169">
        <f>(THG!AJ9)/1000</f>
        <v>204.82888876446282</v>
      </c>
      <c r="AL15" s="169">
        <f>(THG!AK9)/1000</f>
        <v>189.69859171527955</v>
      </c>
      <c r="AM15" s="169">
        <f>(THG!AL9)/1000</f>
        <v>189.08795293816465</v>
      </c>
      <c r="AN15" s="25"/>
      <c r="AO15" s="25"/>
      <c r="AP15" s="25"/>
      <c r="AQ15" s="25"/>
      <c r="AR15" s="25"/>
    </row>
    <row r="16" spans="2:44" ht="19.5" customHeight="1">
      <c r="B16" s="116" t="s">
        <v>112</v>
      </c>
      <c r="C16" s="14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>
        <f>'THG kurz'!AA24/1000</f>
        <v>329.46079246000011</v>
      </c>
      <c r="AB16" s="99">
        <f>'THG kurz'!AB24/1000</f>
        <v>308.79725913599998</v>
      </c>
      <c r="AC16" s="99">
        <f>'THG kurz'!AC24/1000</f>
        <v>303.30683612200005</v>
      </c>
      <c r="AD16" s="99">
        <f>'THG kurz'!AD24/1000</f>
        <v>300.52876027400094</v>
      </c>
      <c r="AE16" s="99">
        <f>'THG kurz'!AE24/1000</f>
        <v>282.70451282600101</v>
      </c>
      <c r="AF16" s="99">
        <f>'THG kurz'!AF24/1000</f>
        <v>269.91655696499993</v>
      </c>
      <c r="AG16" s="99">
        <f>'THG kurz'!AG24/1000</f>
        <v>216.59083173400001</v>
      </c>
      <c r="AH16" s="170">
        <f>'THG kurz'!AH24/1000</f>
        <v>182.62705738699998</v>
      </c>
      <c r="AI16" s="170">
        <f>'THG kurz'!AI24/1000</f>
        <v>210.01669495783537</v>
      </c>
      <c r="AJ16" s="170">
        <f>'THG kurz'!AJ24/1000</f>
        <v>221.06889694421494</v>
      </c>
      <c r="AK16" s="170">
        <f>'THG kurz'!AK24/1000</f>
        <v>168.63280266534514</v>
      </c>
      <c r="AL16" s="170">
        <f>'THG kurz'!AL24/1000</f>
        <v>152.45197543466884</v>
      </c>
      <c r="AM16" s="170"/>
      <c r="AN16" s="143"/>
      <c r="AO16" s="143"/>
      <c r="AP16" s="143"/>
      <c r="AQ16" s="143"/>
      <c r="AR16" s="143"/>
    </row>
    <row r="17" spans="2:44" ht="19.5" customHeight="1">
      <c r="B17" s="6" t="s">
        <v>8</v>
      </c>
      <c r="C17" s="21" t="str">
        <f>'Daten Zielpfadgrafik'!C23</f>
        <v>aktueller Zielpfad**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25">
        <f>'Daten Zielpfadgrafik'!AH23</f>
        <v>280</v>
      </c>
      <c r="AI17" s="25" t="e">
        <f>'Daten Zielpfadgrafik'!AI23</f>
        <v>#N/A</v>
      </c>
      <c r="AJ17" s="25">
        <f>'Daten Zielpfadgrafik'!AJ23</f>
        <v>257</v>
      </c>
      <c r="AK17" s="25" t="e">
        <f>'Daten Zielpfadgrafik'!AK23</f>
        <v>#N/A</v>
      </c>
      <c r="AL17" s="25" t="e">
        <f>'Daten Zielpfadgrafik'!AL23</f>
        <v>#N/A</v>
      </c>
      <c r="AM17" s="25" t="e">
        <f>'Daten Zielpfadgrafik'!AM23</f>
        <v>#N/A</v>
      </c>
      <c r="AN17" s="25" t="e">
        <f>'Daten Zielpfadgrafik'!AN23</f>
        <v>#N/A</v>
      </c>
      <c r="AO17" s="25" t="e">
        <f>'Daten Zielpfadgrafik'!AO23</f>
        <v>#N/A</v>
      </c>
      <c r="AP17" s="25" t="e">
        <f>'Daten Zielpfadgrafik'!AP23</f>
        <v>#N/A</v>
      </c>
      <c r="AQ17" s="25" t="e">
        <f>'Daten Zielpfadgrafik'!AQ23</f>
        <v>#N/A</v>
      </c>
      <c r="AR17" s="25">
        <f>'Daten Zielpfadgrafik'!AR23</f>
        <v>107.9776140872485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07C-F3D9-47E7-92CF-227DF2682AD0}">
  <sheetPr>
    <tabColor theme="4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F4D8-DCF8-48EA-A776-063C67ED7E06}">
  <sheetPr>
    <tabColor theme="7"/>
  </sheetPr>
  <dimension ref="B1:AR20"/>
  <sheetViews>
    <sheetView showGridLines="0" zoomScale="85" zoomScaleNormal="85" zoomScalePageLayoutView="150" workbookViewId="0">
      <pane xSplit="3" ySplit="11" topLeftCell="D12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118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113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114</v>
      </c>
      <c r="C5" s="187" t="s">
        <v>115</v>
      </c>
      <c r="D5" s="188"/>
      <c r="E5" s="188"/>
      <c r="F5" s="188"/>
      <c r="G5" s="188"/>
      <c r="H5" s="188"/>
      <c r="I5" s="188"/>
      <c r="J5" s="188"/>
      <c r="K5" s="96"/>
    </row>
    <row r="6" spans="2:44" s="82" customFormat="1" ht="23.25" customHeight="1">
      <c r="B6" s="78" t="s">
        <v>51</v>
      </c>
      <c r="C6" s="94" t="s">
        <v>63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50</v>
      </c>
      <c r="C7" s="233"/>
      <c r="D7" s="234"/>
      <c r="E7" s="234"/>
      <c r="F7" s="234"/>
      <c r="G7" s="234"/>
      <c r="H7" s="234"/>
      <c r="I7" s="234"/>
      <c r="J7" s="234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66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s="10" customFormat="1" ht="18.75" customHeight="1">
      <c r="B12" s="116" t="str">
        <f>THG!B15</f>
        <v>CRF 1.A.2 - Verarbeitendes Gewerbe</v>
      </c>
      <c r="C12" s="14" t="s">
        <v>61</v>
      </c>
      <c r="D12" s="99">
        <f>(THG!C15)/1000</f>
        <v>184.42535213591376</v>
      </c>
      <c r="E12" s="99">
        <f>(THG!D15)/1000</f>
        <v>162.76549610647643</v>
      </c>
      <c r="F12" s="99">
        <f>(THG!E15)/1000</f>
        <v>151.47584127168355</v>
      </c>
      <c r="G12" s="99">
        <f>(THG!F15)/1000</f>
        <v>140.49125799936544</v>
      </c>
      <c r="H12" s="99">
        <f>(THG!G15)/1000</f>
        <v>138.52468446449032</v>
      </c>
      <c r="I12" s="99">
        <f>(THG!H15)/1000</f>
        <v>141.97632538941161</v>
      </c>
      <c r="J12" s="99">
        <f>(THG!I15)/1000</f>
        <v>132.65077205457581</v>
      </c>
      <c r="K12" s="99">
        <f>(THG!J15)/1000</f>
        <v>136.61774142325373</v>
      </c>
      <c r="L12" s="99">
        <f>(THG!K15)/1000</f>
        <v>132.09471111251941</v>
      </c>
      <c r="M12" s="99">
        <f>(THG!L15)/1000</f>
        <v>129.58573244311501</v>
      </c>
      <c r="N12" s="99">
        <f>(THG!M15)/1000</f>
        <v>125.90143130178366</v>
      </c>
      <c r="O12" s="99">
        <f>(THG!N15)/1000</f>
        <v>118.88531417142146</v>
      </c>
      <c r="P12" s="99">
        <f>(THG!O15)/1000</f>
        <v>118.22048928818786</v>
      </c>
      <c r="Q12" s="99">
        <f>(THG!P15)/1000</f>
        <v>114.91478984417417</v>
      </c>
      <c r="R12" s="99">
        <f>(THG!Q15)/1000</f>
        <v>113.14980184639872</v>
      </c>
      <c r="S12" s="99">
        <f>(THG!R15)/1000</f>
        <v>113.52583658675127</v>
      </c>
      <c r="T12" s="99">
        <f>(THG!S15)/1000</f>
        <v>117.78068043452056</v>
      </c>
      <c r="U12" s="99">
        <f>(THG!T15)/1000</f>
        <v>122.75520204475573</v>
      </c>
      <c r="V12" s="99">
        <f>(THG!U15)/1000</f>
        <v>123.4432967803543</v>
      </c>
      <c r="W12" s="99">
        <f>(THG!V15)/1000</f>
        <v>105.77693595349436</v>
      </c>
      <c r="X12" s="99">
        <f>(THG!W15)/1000</f>
        <v>121.8782935580367</v>
      </c>
      <c r="Y12" s="99">
        <f>(THG!X15)/1000</f>
        <v>118.45713788466229</v>
      </c>
      <c r="Z12" s="99">
        <f>(THG!Y15)/1000</f>
        <v>116.49745562377133</v>
      </c>
      <c r="AA12" s="99">
        <f>(THG!Z15)/1000</f>
        <v>116.50805205792247</v>
      </c>
      <c r="AB12" s="99">
        <f>(THG!AA15)/1000</f>
        <v>115.35237180836316</v>
      </c>
      <c r="AC12" s="99">
        <f>(THG!AB15)/1000</f>
        <v>122.99938559095509</v>
      </c>
      <c r="AD12" s="99">
        <f>(THG!AC15)/1000</f>
        <v>125.11965667777926</v>
      </c>
      <c r="AE12" s="99">
        <f>(THG!AD15)/1000</f>
        <v>127.02342396235412</v>
      </c>
      <c r="AF12" s="99">
        <f>(THG!AE15)/1000</f>
        <v>122.49750741859441</v>
      </c>
      <c r="AG12" s="99">
        <f>(THG!AF15)/1000</f>
        <v>119.94428360423439</v>
      </c>
      <c r="AH12" s="170">
        <f>(THG!AG15)/1000</f>
        <v>117.39394415512712</v>
      </c>
      <c r="AI12" s="170">
        <f>(THG!AH15)/1000</f>
        <v>123.24496321975518</v>
      </c>
      <c r="AJ12" s="170">
        <f>(THG!AI15)/1000</f>
        <v>112.80011984361279</v>
      </c>
      <c r="AK12" s="170">
        <f>(THG!AJ15)/1000</f>
        <v>102.69741676936502</v>
      </c>
      <c r="AL12" s="170">
        <f>(THG!AK15)/1000</f>
        <v>101.87777321941945</v>
      </c>
      <c r="AM12" s="170">
        <f>(THG!AL15)/1000</f>
        <v>98.206709345416499</v>
      </c>
      <c r="AN12" s="28"/>
      <c r="AO12" s="28"/>
      <c r="AP12" s="28"/>
      <c r="AQ12" s="28"/>
      <c r="AR12" s="28"/>
    </row>
    <row r="13" spans="2:44" ht="18.75" customHeight="1">
      <c r="B13" s="117" t="str">
        <f>THG!B16</f>
        <v>CRF 2.A - Herstellung mineralischer Produkte</v>
      </c>
      <c r="C13" s="88" t="s">
        <v>61</v>
      </c>
      <c r="D13" s="100">
        <f>(THG!C16)/1000</f>
        <v>23.52237700335959</v>
      </c>
      <c r="E13" s="100">
        <f>(THG!D16)/1000</f>
        <v>21.349780691256253</v>
      </c>
      <c r="F13" s="100">
        <f>(THG!E16)/1000</f>
        <v>22.135054345486108</v>
      </c>
      <c r="G13" s="100">
        <f>(THG!F16)/1000</f>
        <v>22.530875775271141</v>
      </c>
      <c r="H13" s="100">
        <f>(THG!G16)/1000</f>
        <v>24.133103080547361</v>
      </c>
      <c r="I13" s="100">
        <f>(THG!H16)/1000</f>
        <v>24.487421341301232</v>
      </c>
      <c r="J13" s="100">
        <f>(THG!I16)/1000</f>
        <v>23.079988502054999</v>
      </c>
      <c r="K13" s="100">
        <f>(THG!J16)/1000</f>
        <v>23.600760284535902</v>
      </c>
      <c r="L13" s="100">
        <f>(THG!K16)/1000</f>
        <v>23.600618765187221</v>
      </c>
      <c r="M13" s="100">
        <f>(THG!L16)/1000</f>
        <v>23.710802547403947</v>
      </c>
      <c r="N13" s="100">
        <f>(THG!M16)/1000</f>
        <v>23.265792589337654</v>
      </c>
      <c r="O13" s="100">
        <f>(THG!N16)/1000</f>
        <v>21.051263216725928</v>
      </c>
      <c r="P13" s="100">
        <f>(THG!O16)/1000</f>
        <v>20.147498665345225</v>
      </c>
      <c r="Q13" s="100">
        <f>(THG!P16)/1000</f>
        <v>20.878760771206622</v>
      </c>
      <c r="R13" s="100">
        <f>(THG!Q16)/1000</f>
        <v>21.406357267773959</v>
      </c>
      <c r="S13" s="100">
        <f>(THG!R16)/1000</f>
        <v>20.125529017977478</v>
      </c>
      <c r="T13" s="100">
        <f>(THG!S16)/1000</f>
        <v>20.599789467911357</v>
      </c>
      <c r="U13" s="100">
        <f>(THG!T16)/1000</f>
        <v>21.913613437772234</v>
      </c>
      <c r="V13" s="100">
        <f>(THG!U16)/1000</f>
        <v>20.88554824750776</v>
      </c>
      <c r="W13" s="100">
        <f>(THG!V16)/1000</f>
        <v>18.501861688396122</v>
      </c>
      <c r="X13" s="100">
        <f>(THG!W16)/1000</f>
        <v>18.97718202646637</v>
      </c>
      <c r="Y13" s="100">
        <f>(THG!X16)/1000</f>
        <v>20.178988661134785</v>
      </c>
      <c r="Z13" s="100">
        <f>(THG!Y16)/1000</f>
        <v>19.665716849405289</v>
      </c>
      <c r="AA13" s="100">
        <f>(THG!Z16)/1000</f>
        <v>19.073370355693481</v>
      </c>
      <c r="AB13" s="100">
        <f>(THG!AA16)/1000</f>
        <v>19.638083771418035</v>
      </c>
      <c r="AC13" s="100">
        <f>(THG!AB16)/1000</f>
        <v>19.221312421853476</v>
      </c>
      <c r="AD13" s="100">
        <f>(THG!AC16)/1000</f>
        <v>19.228260527882799</v>
      </c>
      <c r="AE13" s="100">
        <f>(THG!AD16)/1000</f>
        <v>19.933552517479935</v>
      </c>
      <c r="AF13" s="100">
        <f>(THG!AE16)/1000</f>
        <v>19.807482634354653</v>
      </c>
      <c r="AG13" s="100">
        <f>(THG!AF16)/1000</f>
        <v>19.569242430160607</v>
      </c>
      <c r="AH13" s="171">
        <f>(THG!AG16)/1000</f>
        <v>19.201696960959183</v>
      </c>
      <c r="AI13" s="171">
        <f>(THG!AH16)/1000</f>
        <v>19.994870896526315</v>
      </c>
      <c r="AJ13" s="171">
        <f>(THG!AI16)/1000</f>
        <v>18.727334137133912</v>
      </c>
      <c r="AK13" s="171">
        <f>(THG!AJ16)/1000</f>
        <v>15.964597919855491</v>
      </c>
      <c r="AL13" s="171">
        <f>(THG!AK16)/1000</f>
        <v>15.079792072213854</v>
      </c>
      <c r="AM13" s="171">
        <f>(THG!AL16)/1000</f>
        <v>14.818660824693799</v>
      </c>
      <c r="AN13" s="90"/>
      <c r="AO13" s="90"/>
      <c r="AP13" s="90"/>
      <c r="AQ13" s="90"/>
      <c r="AR13" s="90"/>
    </row>
    <row r="14" spans="2:44" ht="18.75" customHeight="1">
      <c r="B14" s="118" t="str">
        <f>THG!B17</f>
        <v>CRF 2.B - Chemische Industrie</v>
      </c>
      <c r="C14" s="101" t="s">
        <v>61</v>
      </c>
      <c r="D14" s="99">
        <f>(THG!C17)/1000</f>
        <v>32.297582415916814</v>
      </c>
      <c r="E14" s="99">
        <f>(THG!D17)/1000</f>
        <v>31.57597206252991</v>
      </c>
      <c r="F14" s="99">
        <f>(THG!E17)/1000</f>
        <v>33.844447002964181</v>
      </c>
      <c r="G14" s="99">
        <f>(THG!F17)/1000</f>
        <v>31.678089721266179</v>
      </c>
      <c r="H14" s="99">
        <f>(THG!G17)/1000</f>
        <v>34.211682576666078</v>
      </c>
      <c r="I14" s="99">
        <f>(THG!H17)/1000</f>
        <v>34.096785613501225</v>
      </c>
      <c r="J14" s="99">
        <f>(THG!I17)/1000</f>
        <v>33.989804676994417</v>
      </c>
      <c r="K14" s="99">
        <f>(THG!J17)/1000</f>
        <v>31.694485557200501</v>
      </c>
      <c r="L14" s="99">
        <f>(THG!K17)/1000</f>
        <v>20.43133652617243</v>
      </c>
      <c r="M14" s="99">
        <f>(THG!L17)/1000</f>
        <v>16.436368831195679</v>
      </c>
      <c r="N14" s="99">
        <f>(THG!M17)/1000</f>
        <v>15.219978677815149</v>
      </c>
      <c r="O14" s="99">
        <f>(THG!N17)/1000</f>
        <v>16.235398017445071</v>
      </c>
      <c r="P14" s="99">
        <f>(THG!O17)/1000</f>
        <v>17.423587293485465</v>
      </c>
      <c r="Q14" s="99">
        <f>(THG!P17)/1000</f>
        <v>16.999941075182591</v>
      </c>
      <c r="R14" s="99">
        <f>(THG!Q17)/1000</f>
        <v>17.790146306777647</v>
      </c>
      <c r="S14" s="99">
        <f>(THG!R17)/1000</f>
        <v>17.332026338773719</v>
      </c>
      <c r="T14" s="99">
        <f>(THG!S17)/1000</f>
        <v>16.380519013012215</v>
      </c>
      <c r="U14" s="99">
        <f>(THG!T17)/1000</f>
        <v>18.755143520920928</v>
      </c>
      <c r="V14" s="99">
        <f>(THG!U17)/1000</f>
        <v>17.42740199672323</v>
      </c>
      <c r="W14" s="99">
        <f>(THG!V17)/1000</f>
        <v>17.113612372568713</v>
      </c>
      <c r="X14" s="99">
        <f>(THG!W17)/1000</f>
        <v>10.321726430934476</v>
      </c>
      <c r="Y14" s="99">
        <f>(THG!X17)/1000</f>
        <v>9.6906239952800242</v>
      </c>
      <c r="Z14" s="99">
        <f>(THG!Y17)/1000</f>
        <v>9.5466180510602019</v>
      </c>
      <c r="AA14" s="99">
        <f>(THG!Z17)/1000</f>
        <v>9.5710601504680941</v>
      </c>
      <c r="AB14" s="99">
        <f>(THG!AA17)/1000</f>
        <v>7.5290923810181392</v>
      </c>
      <c r="AC14" s="99">
        <f>(THG!AB17)/1000</f>
        <v>6.8703113053431686</v>
      </c>
      <c r="AD14" s="99">
        <f>(THG!AC17)/1000</f>
        <v>6.9000958907252619</v>
      </c>
      <c r="AE14" s="99">
        <f>(THG!AD17)/1000</f>
        <v>6.8730324905706794</v>
      </c>
      <c r="AF14" s="99">
        <f>(THG!AE17)/1000</f>
        <v>6.7019437998059228</v>
      </c>
      <c r="AG14" s="99">
        <f>(THG!AF17)/1000</f>
        <v>6.481801179062062</v>
      </c>
      <c r="AH14" s="170">
        <f>(THG!AG17)/1000</f>
        <v>6.5006026590411281</v>
      </c>
      <c r="AI14" s="170">
        <f>(THG!AH17)/1000</f>
        <v>6.3607577455794768</v>
      </c>
      <c r="AJ14" s="170">
        <f>(THG!AI17)/1000</f>
        <v>5.1571590619762588</v>
      </c>
      <c r="AK14" s="170">
        <f>(THG!AJ17)/1000</f>
        <v>4.7139711120167922</v>
      </c>
      <c r="AL14" s="170">
        <f>(THG!AK17)/1000</f>
        <v>5.0348674922757803</v>
      </c>
      <c r="AM14" s="170">
        <f>(THG!AL17)/1000</f>
        <v>5.0539246795849646</v>
      </c>
      <c r="AN14" s="28"/>
      <c r="AO14" s="28"/>
      <c r="AP14" s="28"/>
      <c r="AQ14" s="28"/>
      <c r="AR14" s="28"/>
    </row>
    <row r="15" spans="2:44" ht="18.75" customHeight="1">
      <c r="B15" s="117" t="str">
        <f>THG!B18</f>
        <v>CRF 2.C - Herstellung von Metallen</v>
      </c>
      <c r="C15" s="88" t="s">
        <v>61</v>
      </c>
      <c r="D15" s="100">
        <f>(THG!C18)/1000</f>
        <v>27.900741562229996</v>
      </c>
      <c r="E15" s="100">
        <f>(THG!D18)/1000</f>
        <v>26.909364120500001</v>
      </c>
      <c r="F15" s="100">
        <f>(THG!E18)/1000</f>
        <v>23.255906489500003</v>
      </c>
      <c r="G15" s="100">
        <f>(THG!F18)/1000</f>
        <v>23.565259039760001</v>
      </c>
      <c r="H15" s="100">
        <f>(THG!G18)/1000</f>
        <v>24.695446330703998</v>
      </c>
      <c r="I15" s="100">
        <f>(THG!H18)/1000</f>
        <v>22.632392640241072</v>
      </c>
      <c r="J15" s="100">
        <f>(THG!I18)/1000</f>
        <v>21.829753266647401</v>
      </c>
      <c r="K15" s="100">
        <f>(THG!J18)/1000</f>
        <v>23.450320019460502</v>
      </c>
      <c r="L15" s="100">
        <f>(THG!K18)/1000</f>
        <v>21.78237078270832</v>
      </c>
      <c r="M15" s="100">
        <f>(THG!L18)/1000</f>
        <v>19.397499676809527</v>
      </c>
      <c r="N15" s="100">
        <f>(THG!M18)/1000</f>
        <v>24.183512989136986</v>
      </c>
      <c r="O15" s="100">
        <f>(THG!N18)/1000</f>
        <v>21.337531623104741</v>
      </c>
      <c r="P15" s="100">
        <f>(THG!O18)/1000</f>
        <v>19.791080339131355</v>
      </c>
      <c r="Q15" s="100">
        <f>(THG!P18)/1000</f>
        <v>22.094904205691677</v>
      </c>
      <c r="R15" s="100">
        <f>(THG!Q18)/1000</f>
        <v>22.204629929218438</v>
      </c>
      <c r="S15" s="100">
        <f>(THG!R18)/1000</f>
        <v>20.790341029189499</v>
      </c>
      <c r="T15" s="100">
        <f>(THG!S18)/1000</f>
        <v>21.110097203638777</v>
      </c>
      <c r="U15" s="100">
        <f>(THG!T18)/1000</f>
        <v>20.101176629854965</v>
      </c>
      <c r="V15" s="100">
        <f>(THG!U18)/1000</f>
        <v>18.515135933570388</v>
      </c>
      <c r="W15" s="100">
        <f>(THG!V18)/1000</f>
        <v>13.137540458537719</v>
      </c>
      <c r="X15" s="100">
        <f>(THG!W18)/1000</f>
        <v>16.661484410414829</v>
      </c>
      <c r="Y15" s="100">
        <f>(THG!X18)/1000</f>
        <v>17.236508485664185</v>
      </c>
      <c r="Z15" s="100">
        <f>(THG!Y18)/1000</f>
        <v>14.879060608255012</v>
      </c>
      <c r="AA15" s="100">
        <f>(THG!Z18)/1000</f>
        <v>15.375044641465658</v>
      </c>
      <c r="AB15" s="100">
        <f>(THG!AA18)/1000</f>
        <v>17.114747878477647</v>
      </c>
      <c r="AC15" s="100">
        <f>(THG!AB18)/1000</f>
        <v>17.021551401093639</v>
      </c>
      <c r="AD15" s="100">
        <f>(THG!AC18)/1000</f>
        <v>18.583937820572956</v>
      </c>
      <c r="AE15" s="100">
        <f>(THG!AD18)/1000</f>
        <v>21.822335931970368</v>
      </c>
      <c r="AF15" s="100">
        <f>(THG!AE18)/1000</f>
        <v>20.072751583806301</v>
      </c>
      <c r="AG15" s="100">
        <f>(THG!AF18)/1000</f>
        <v>18.183509535573563</v>
      </c>
      <c r="AH15" s="171">
        <f>(THG!AG18)/1000</f>
        <v>15.970708376422927</v>
      </c>
      <c r="AI15" s="171">
        <f>(THG!AH18)/1000</f>
        <v>17.70399347468312</v>
      </c>
      <c r="AJ15" s="171">
        <f>(THG!AI18)/1000</f>
        <v>15.656331227016732</v>
      </c>
      <c r="AK15" s="171">
        <f>(THG!AJ18)/1000</f>
        <v>15.389544318875981</v>
      </c>
      <c r="AL15" s="171">
        <f>(THG!AK18)/1000</f>
        <v>17.067213388259677</v>
      </c>
      <c r="AM15" s="171">
        <f>(THG!AL18)/1000</f>
        <v>15.5960696227322</v>
      </c>
      <c r="AN15" s="90"/>
      <c r="AO15" s="90"/>
      <c r="AP15" s="90"/>
      <c r="AQ15" s="90"/>
      <c r="AR15" s="90"/>
    </row>
    <row r="16" spans="2:44" s="10" customFormat="1" ht="37.5" customHeight="1">
      <c r="B16" s="116" t="str">
        <f>THG!B19</f>
        <v>CRF 2.D-H - übrige Prozesse und Produktverwendungen</v>
      </c>
      <c r="C16" s="14" t="s">
        <v>61</v>
      </c>
      <c r="D16" s="99">
        <f>(THG!C19)/1000</f>
        <v>9.4954837136274985</v>
      </c>
      <c r="E16" s="99">
        <f>(THG!D19)/1000</f>
        <v>9.7136549360023619</v>
      </c>
      <c r="F16" s="99">
        <f>(THG!E19)/1000</f>
        <v>10.293546715934113</v>
      </c>
      <c r="G16" s="99">
        <f>(THG!F19)/1000</f>
        <v>13.017608300525401</v>
      </c>
      <c r="H16" s="99">
        <f>(THG!G19)/1000</f>
        <v>13.275650019696517</v>
      </c>
      <c r="I16" s="99">
        <f>(THG!H19)/1000</f>
        <v>13.528065911358466</v>
      </c>
      <c r="J16" s="99">
        <f>(THG!I19)/1000</f>
        <v>13.962490366259281</v>
      </c>
      <c r="K16" s="99">
        <f>(THG!J19)/1000</f>
        <v>14.702311656623824</v>
      </c>
      <c r="L16" s="99">
        <f>(THG!K19)/1000</f>
        <v>15.179418118323056</v>
      </c>
      <c r="M16" s="99">
        <f>(THG!L19)/1000</f>
        <v>13.868924676303646</v>
      </c>
      <c r="N16" s="99">
        <f>(THG!M19)/1000</f>
        <v>13.922772869079516</v>
      </c>
      <c r="O16" s="99">
        <f>(THG!N19)/1000</f>
        <v>14.442381812145541</v>
      </c>
      <c r="P16" s="99">
        <f>(THG!O19)/1000</f>
        <v>14.159275593334712</v>
      </c>
      <c r="Q16" s="99">
        <f>(THG!P19)/1000</f>
        <v>14.171402429635108</v>
      </c>
      <c r="R16" s="99">
        <f>(THG!Q19)/1000</f>
        <v>14.510181284455546</v>
      </c>
      <c r="S16" s="99">
        <f>(THG!R19)/1000</f>
        <v>14.504541690440178</v>
      </c>
      <c r="T16" s="99">
        <f>(THG!S19)/1000</f>
        <v>14.967788328287526</v>
      </c>
      <c r="U16" s="99">
        <f>(THG!T19)/1000</f>
        <v>15.455693175627639</v>
      </c>
      <c r="V16" s="99">
        <f>(THG!U19)/1000</f>
        <v>15.23149402313539</v>
      </c>
      <c r="W16" s="99">
        <f>(THG!V19)/1000</f>
        <v>15.332791836216776</v>
      </c>
      <c r="X16" s="99">
        <f>(THG!W19)/1000</f>
        <v>15.889926215838734</v>
      </c>
      <c r="Y16" s="99">
        <f>(THG!X19)/1000</f>
        <v>16.172200294455234</v>
      </c>
      <c r="Z16" s="99">
        <f>(THG!Y19)/1000</f>
        <v>16.399216759499758</v>
      </c>
      <c r="AA16" s="99">
        <f>(THG!Z19)/1000</f>
        <v>16.379391457921002</v>
      </c>
      <c r="AB16" s="99">
        <f>(THG!AA19)/1000</f>
        <v>16.418484098192867</v>
      </c>
      <c r="AC16" s="99">
        <f>(THG!AB19)/1000</f>
        <v>16.766402379495805</v>
      </c>
      <c r="AD16" s="99">
        <f>(THG!AC19)/1000</f>
        <v>16.739432779386878</v>
      </c>
      <c r="AE16" s="99">
        <f>(THG!AD19)/1000</f>
        <v>16.651708012122523</v>
      </c>
      <c r="AF16" s="99">
        <f>(THG!AE19)/1000</f>
        <v>15.652799204296876</v>
      </c>
      <c r="AG16" s="99">
        <f>(THG!AF19)/1000</f>
        <v>14.82724752857956</v>
      </c>
      <c r="AH16" s="170">
        <f>(THG!AG19)/1000</f>
        <v>13.260190218309312</v>
      </c>
      <c r="AI16" s="170">
        <f>(THG!AH19)/1000</f>
        <v>12.767532614644379</v>
      </c>
      <c r="AJ16" s="170">
        <f>(THG!AI19)/1000</f>
        <v>11.904678897048747</v>
      </c>
      <c r="AK16" s="170">
        <f>(THG!AJ19)/1000</f>
        <v>10.95435871237221</v>
      </c>
      <c r="AL16" s="170">
        <f>(THG!AK19)/1000</f>
        <v>10.707478750433904</v>
      </c>
      <c r="AM16" s="170">
        <f>(THG!AL19)/1000</f>
        <v>10.466324607526253</v>
      </c>
      <c r="AN16" s="28"/>
      <c r="AO16" s="28"/>
      <c r="AP16" s="28"/>
      <c r="AQ16" s="28"/>
      <c r="AR16" s="28"/>
    </row>
    <row r="17" spans="2:44" ht="18.75" customHeight="1">
      <c r="B17" s="152" t="s">
        <v>68</v>
      </c>
      <c r="C17" s="21" t="s">
        <v>61</v>
      </c>
      <c r="D17" s="169">
        <f>(THG!C14)/1000</f>
        <v>277.64153683104769</v>
      </c>
      <c r="E17" s="169">
        <f>(THG!D14)/1000</f>
        <v>252.31426791676498</v>
      </c>
      <c r="F17" s="169">
        <f>(THG!E14)/1000</f>
        <v>241.00479582556795</v>
      </c>
      <c r="G17" s="169">
        <f>(THG!F14)/1000</f>
        <v>231.28309083618817</v>
      </c>
      <c r="H17" s="169">
        <f>(THG!G14)/1000</f>
        <v>234.84056647210426</v>
      </c>
      <c r="I17" s="169">
        <f>(THG!H14)/1000</f>
        <v>236.72099089581363</v>
      </c>
      <c r="J17" s="169">
        <f>(THG!I14)/1000</f>
        <v>225.51280886653191</v>
      </c>
      <c r="K17" s="169">
        <f>(THG!J14)/1000</f>
        <v>230.06561894107443</v>
      </c>
      <c r="L17" s="169">
        <f>(THG!K14)/1000</f>
        <v>213.08845530491044</v>
      </c>
      <c r="M17" s="169">
        <f>(THG!L14)/1000</f>
        <v>202.99932817482778</v>
      </c>
      <c r="N17" s="169">
        <f>(THG!M14)/1000</f>
        <v>202.49348842715295</v>
      </c>
      <c r="O17" s="169">
        <f>(THG!N14)/1000</f>
        <v>191.95188884084277</v>
      </c>
      <c r="P17" s="169">
        <f>(THG!O14)/1000</f>
        <v>189.74193117948465</v>
      </c>
      <c r="Q17" s="169">
        <f>(THG!P14)/1000</f>
        <v>189.05979832589014</v>
      </c>
      <c r="R17" s="169">
        <f>(THG!Q14)/1000</f>
        <v>189.06111663462431</v>
      </c>
      <c r="S17" s="169">
        <f>(THG!R14)/1000</f>
        <v>186.27827466313215</v>
      </c>
      <c r="T17" s="169">
        <f>(THG!S14)/1000</f>
        <v>190.83887444737042</v>
      </c>
      <c r="U17" s="169">
        <f>(THG!T14)/1000</f>
        <v>198.98082880893148</v>
      </c>
      <c r="V17" s="169">
        <f>(THG!U14)/1000</f>
        <v>195.50287698129108</v>
      </c>
      <c r="W17" s="169">
        <f>(THG!V14)/1000</f>
        <v>169.8627423092137</v>
      </c>
      <c r="X17" s="169">
        <f>(THG!W14)/1000</f>
        <v>183.72861264169111</v>
      </c>
      <c r="Y17" s="169">
        <f>(THG!X14)/1000</f>
        <v>181.73545932119652</v>
      </c>
      <c r="Z17" s="169">
        <f>(THG!Y14)/1000</f>
        <v>176.98806789199159</v>
      </c>
      <c r="AA17" s="169">
        <f>(THG!Z14)/1000</f>
        <v>176.90691866347069</v>
      </c>
      <c r="AB17" s="169">
        <f>(THG!AA14)/1000</f>
        <v>176.05277993746981</v>
      </c>
      <c r="AC17" s="169">
        <f>(THG!AB14)/1000</f>
        <v>182.8789630987412</v>
      </c>
      <c r="AD17" s="169">
        <f>(THG!AC14)/1000</f>
        <v>186.57138369634714</v>
      </c>
      <c r="AE17" s="169">
        <f>(THG!AD14)/1000</f>
        <v>192.30405291449762</v>
      </c>
      <c r="AF17" s="169">
        <f>(THG!AE14)/1000</f>
        <v>184.73248464085813</v>
      </c>
      <c r="AG17" s="169">
        <f>(THG!AF14)/1000</f>
        <v>179.00608427761014</v>
      </c>
      <c r="AH17" s="169">
        <f>(THG!AG14)/1000</f>
        <v>172.32714236985967</v>
      </c>
      <c r="AI17" s="169">
        <f>(THG!AH14)/1000</f>
        <v>180.07211795118846</v>
      </c>
      <c r="AJ17" s="169">
        <f>(THG!AI14)/1000</f>
        <v>164.24562316678845</v>
      </c>
      <c r="AK17" s="169">
        <f>(THG!AJ14)/1000</f>
        <v>149.71988883248548</v>
      </c>
      <c r="AL17" s="169">
        <f>(THG!AK14)/1000</f>
        <v>149.76712492260268</v>
      </c>
      <c r="AM17" s="169">
        <f>(THG!AL14)/1000</f>
        <v>144.14168907995369</v>
      </c>
      <c r="AN17" s="164"/>
      <c r="AO17" s="164"/>
      <c r="AP17" s="164"/>
      <c r="AQ17" s="164"/>
      <c r="AR17" s="164"/>
    </row>
    <row r="18" spans="2:44" ht="18.75" customHeight="1">
      <c r="B18" s="118" t="s">
        <v>112</v>
      </c>
      <c r="C18" s="101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>
        <f>'THG kurz'!AA31/1000</f>
        <v>150.78321210599998</v>
      </c>
      <c r="AB18" s="170">
        <f>'THG kurz'!AB31/1000</f>
        <v>151.66365511999999</v>
      </c>
      <c r="AC18" s="170">
        <f>'THG kurz'!AC31/1000</f>
        <v>151.48456130900007</v>
      </c>
      <c r="AD18" s="170">
        <f>'THG kurz'!AD31/1000</f>
        <v>151.70517644100002</v>
      </c>
      <c r="AE18" s="170">
        <f>'THG kurz'!AE31/1000</f>
        <v>154.33143690000003</v>
      </c>
      <c r="AF18" s="170">
        <f>'THG kurz'!AF31/1000</f>
        <v>152.37655838999768</v>
      </c>
      <c r="AG18" s="170">
        <f>'THG kurz'!AG31/1000</f>
        <v>146.16528374199999</v>
      </c>
      <c r="AH18" s="170">
        <f>'THG kurz'!AH31/1000</f>
        <v>137.10131589599999</v>
      </c>
      <c r="AI18" s="170">
        <f>'THG kurz'!AI31/1000</f>
        <v>144.63957132734464</v>
      </c>
      <c r="AJ18" s="170">
        <f>'THG kurz'!AJ31/1000</f>
        <v>132.45056138003443</v>
      </c>
      <c r="AK18" s="170">
        <f>'THG kurz'!AK31/1000</f>
        <v>120.32417928894213</v>
      </c>
      <c r="AL18" s="170">
        <f>'THG kurz'!AL31/1000</f>
        <v>119.99500099141413</v>
      </c>
      <c r="AM18" s="167"/>
      <c r="AN18" s="167"/>
      <c r="AO18" s="167"/>
      <c r="AP18" s="167"/>
      <c r="AQ18" s="167"/>
      <c r="AR18" s="167"/>
    </row>
    <row r="19" spans="2:44" ht="18.75" customHeight="1">
      <c r="B19" s="152" t="s">
        <v>9</v>
      </c>
      <c r="C19" s="21" t="str">
        <f>'Daten Zielpfadgrafik'!C24</f>
        <v>aktueller Zielpfad**</v>
      </c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>
        <f>'Daten Zielpfadgrafik'!AH24</f>
        <v>186</v>
      </c>
      <c r="AI19" s="169">
        <f>'Daten Zielpfadgrafik'!AI24</f>
        <v>182</v>
      </c>
      <c r="AJ19" s="169">
        <f>'Daten Zielpfadgrafik'!AJ24</f>
        <v>176.86086659631175</v>
      </c>
      <c r="AK19" s="164">
        <f>'Daten Zielpfadgrafik'!AK24</f>
        <v>172.985406483856</v>
      </c>
      <c r="AL19" s="164">
        <f>'Daten Zielpfadgrafik'!AL24</f>
        <v>168.85135902837555</v>
      </c>
      <c r="AM19" s="164">
        <f>'Daten Zielpfadgrafik'!AM24</f>
        <v>164.03206471267103</v>
      </c>
      <c r="AN19" s="164">
        <f>'Daten Zielpfadgrafik'!AN24</f>
        <v>160.0101398392145</v>
      </c>
      <c r="AO19" s="164">
        <f>'Daten Zielpfadgrafik'!AO24</f>
        <v>151.0101398392145</v>
      </c>
      <c r="AP19" s="164">
        <f>'Daten Zielpfadgrafik'!AP24</f>
        <v>143.0101398392145</v>
      </c>
      <c r="AQ19" s="164">
        <f>'Daten Zielpfadgrafik'!AQ24</f>
        <v>136.01013983921447</v>
      </c>
      <c r="AR19" s="164">
        <f>'Daten Zielpfadgrafik'!AR24</f>
        <v>129.01013983921447</v>
      </c>
    </row>
    <row r="20" spans="2:44" ht="14.25" customHeight="1">
      <c r="B20" s="7"/>
      <c r="C20" s="15"/>
    </row>
  </sheetData>
  <mergeCells count="1">
    <mergeCell ref="C7:J7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658A-CCDD-447D-9779-7E9F166C72FA}">
  <sheetPr>
    <tabColor theme="7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73D-769A-4992-B9F9-CA65A7E7C0BD}">
  <sheetPr>
    <tabColor theme="6"/>
  </sheetPr>
  <dimension ref="B1:AR18"/>
  <sheetViews>
    <sheetView showGridLines="0" zoomScale="85" zoomScaleNormal="85" zoomScalePageLayoutView="150" workbookViewId="0">
      <pane xSplit="3" ySplit="11" topLeftCell="AC12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119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113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114</v>
      </c>
      <c r="C5" s="187" t="s">
        <v>115</v>
      </c>
      <c r="D5" s="188"/>
      <c r="E5" s="188"/>
      <c r="F5" s="188"/>
      <c r="G5" s="188"/>
      <c r="H5" s="188"/>
      <c r="I5" s="188"/>
      <c r="J5" s="188"/>
      <c r="K5" s="96"/>
    </row>
    <row r="6" spans="2:44" s="82" customFormat="1" ht="23.25" customHeight="1">
      <c r="B6" s="78" t="s">
        <v>51</v>
      </c>
      <c r="C6" s="94" t="s">
        <v>63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50</v>
      </c>
      <c r="C7" s="94"/>
      <c r="D7" s="95"/>
      <c r="E7" s="95"/>
      <c r="F7" s="95"/>
      <c r="G7" s="95"/>
      <c r="H7" s="95"/>
      <c r="I7" s="95"/>
      <c r="J7" s="95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66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37.5" customHeight="1">
      <c r="B12" s="116" t="str">
        <f>THG!B22</f>
        <v>CRF 1.A.4.a - Gewerbe, Handel, Dienstleistung (ohne Militär und Landwirtschaft)</v>
      </c>
      <c r="C12" s="14" t="s">
        <v>61</v>
      </c>
      <c r="D12" s="99">
        <f>(THG!C22)/1000</f>
        <v>65.793135435961162</v>
      </c>
      <c r="E12" s="99">
        <f>(THG!D22)/1000</f>
        <v>65.895914511204566</v>
      </c>
      <c r="F12" s="99">
        <f>(THG!E22)/1000</f>
        <v>58.453858559376137</v>
      </c>
      <c r="G12" s="99">
        <f>(THG!F22)/1000</f>
        <v>56.059059714848452</v>
      </c>
      <c r="H12" s="99">
        <f>(THG!G22)/1000</f>
        <v>51.404393469851819</v>
      </c>
      <c r="I12" s="99">
        <f>(THG!H22)/1000</f>
        <v>53.329390770174285</v>
      </c>
      <c r="J12" s="99">
        <f>(THG!I22)/1000</f>
        <v>64.035629577524247</v>
      </c>
      <c r="K12" s="99">
        <f>(THG!J22)/1000</f>
        <v>54.983494179487408</v>
      </c>
      <c r="L12" s="99">
        <f>(THG!K22)/1000</f>
        <v>53.302980361405069</v>
      </c>
      <c r="M12" s="99">
        <f>(THG!L22)/1000</f>
        <v>49.213781078286068</v>
      </c>
      <c r="N12" s="99">
        <f>(THG!M22)/1000</f>
        <v>45.495261313723745</v>
      </c>
      <c r="O12" s="99">
        <f>(THG!N22)/1000</f>
        <v>52.72029029239453</v>
      </c>
      <c r="P12" s="99">
        <f>(THG!O22)/1000</f>
        <v>49.789184145368154</v>
      </c>
      <c r="Q12" s="99">
        <f>(THG!P22)/1000</f>
        <v>40.28811065117722</v>
      </c>
      <c r="R12" s="99">
        <f>(THG!Q22)/1000</f>
        <v>36.493212731884924</v>
      </c>
      <c r="S12" s="99">
        <f>(THG!R22)/1000</f>
        <v>37.652055070897177</v>
      </c>
      <c r="T12" s="99">
        <f>(THG!S22)/1000</f>
        <v>45.326865890173941</v>
      </c>
      <c r="U12" s="99">
        <f>(THG!T22)/1000</f>
        <v>33.611903151084071</v>
      </c>
      <c r="V12" s="99">
        <f>(THG!U22)/1000</f>
        <v>38.520501507627444</v>
      </c>
      <c r="W12" s="99">
        <f>(THG!V22)/1000</f>
        <v>35.914121432701855</v>
      </c>
      <c r="X12" s="99">
        <f>(THG!W22)/1000</f>
        <v>37.139761894207375</v>
      </c>
      <c r="Y12" s="99">
        <f>(THG!X22)/1000</f>
        <v>34.529421480464656</v>
      </c>
      <c r="Z12" s="99">
        <f>(THG!Y22)/1000</f>
        <v>33.293120274177625</v>
      </c>
      <c r="AA12" s="99">
        <f>(THG!Z22)/1000</f>
        <v>37.948911297798702</v>
      </c>
      <c r="AB12" s="99">
        <f>(THG!AA22)/1000</f>
        <v>33.3238521251333</v>
      </c>
      <c r="AC12" s="99">
        <f>(THG!AB22)/1000</f>
        <v>34.988081845591566</v>
      </c>
      <c r="AD12" s="99">
        <f>(THG!AC22)/1000</f>
        <v>31.42474139801509</v>
      </c>
      <c r="AE12" s="99">
        <f>(THG!AD22)/1000</f>
        <v>32.125182616270585</v>
      </c>
      <c r="AF12" s="99">
        <f>(THG!AE22)/1000</f>
        <v>27.189622376377532</v>
      </c>
      <c r="AG12" s="99">
        <f>(THG!AF22)/1000</f>
        <v>26.057444846621038</v>
      </c>
      <c r="AH12" s="170">
        <f>(THG!AG22)/1000</f>
        <v>24.965118674820324</v>
      </c>
      <c r="AI12" s="170">
        <f>(THG!AH22)/1000</f>
        <v>24.907048872029478</v>
      </c>
      <c r="AJ12" s="170">
        <f>(THG!AI22)/1000</f>
        <v>25.192629078926235</v>
      </c>
      <c r="AK12" s="170">
        <f>(THG!AJ22)/1000</f>
        <v>22.126450927921613</v>
      </c>
      <c r="AL12" s="170">
        <f>(THG!AK22)/1000</f>
        <v>21.493967062840962</v>
      </c>
      <c r="AM12" s="170">
        <f>(THG!AL22)/1000</f>
        <v>23.090605887872005</v>
      </c>
      <c r="AN12" s="28"/>
      <c r="AO12" s="28"/>
      <c r="AP12" s="28"/>
      <c r="AQ12" s="28"/>
      <c r="AR12" s="28"/>
    </row>
    <row r="13" spans="2:44" ht="18.75" customHeight="1">
      <c r="B13" s="117" t="str">
        <f>THG!B23</f>
        <v>CRF 1.A.4.b - Haushalte</v>
      </c>
      <c r="C13" s="88" t="s">
        <v>61</v>
      </c>
      <c r="D13" s="100">
        <f>(THG!C23)/1000</f>
        <v>132.10231659297673</v>
      </c>
      <c r="E13" s="100">
        <f>(THG!D23)/1000</f>
        <v>133.88463547907855</v>
      </c>
      <c r="F13" s="100">
        <f>(THG!E23)/1000</f>
        <v>125.25860437400419</v>
      </c>
      <c r="G13" s="100">
        <f>(THG!F23)/1000</f>
        <v>135.69497544861653</v>
      </c>
      <c r="H13" s="100">
        <f>(THG!G23)/1000</f>
        <v>129.98895028585918</v>
      </c>
      <c r="I13" s="100">
        <f>(THG!H23)/1000</f>
        <v>130.35904194194583</v>
      </c>
      <c r="J13" s="100">
        <f>(THG!I23)/1000</f>
        <v>143.70271557281782</v>
      </c>
      <c r="K13" s="100">
        <f>(THG!J23)/1000</f>
        <v>139.63217382184061</v>
      </c>
      <c r="L13" s="100">
        <f>(THG!K23)/1000</f>
        <v>133.159004854947</v>
      </c>
      <c r="M13" s="100">
        <f>(THG!L23)/1000</f>
        <v>121.01531896285158</v>
      </c>
      <c r="N13" s="100">
        <f>(THG!M23)/1000</f>
        <v>118.96241291467682</v>
      </c>
      <c r="O13" s="100">
        <f>(THG!N23)/1000</f>
        <v>132.44842172173367</v>
      </c>
      <c r="P13" s="100">
        <f>(THG!O23)/1000</f>
        <v>122.34441826841712</v>
      </c>
      <c r="Q13" s="100">
        <f>(THG!P23)/1000</f>
        <v>121.95401175976365</v>
      </c>
      <c r="R13" s="100">
        <f>(THG!Q23)/1000</f>
        <v>114.24267239456411</v>
      </c>
      <c r="S13" s="100">
        <f>(THG!R23)/1000</f>
        <v>111.86378737468938</v>
      </c>
      <c r="T13" s="100">
        <f>(THG!S23)/1000</f>
        <v>113.75751436898551</v>
      </c>
      <c r="U13" s="100">
        <f>(THG!T23)/1000</f>
        <v>87.334846813127413</v>
      </c>
      <c r="V13" s="100">
        <f>(THG!U23)/1000</f>
        <v>107.46311956673804</v>
      </c>
      <c r="W13" s="100">
        <f>(THG!V23)/1000</f>
        <v>99.766962846926944</v>
      </c>
      <c r="X13" s="100">
        <f>(THG!W23)/1000</f>
        <v>106.55134488116026</v>
      </c>
      <c r="Y13" s="100">
        <f>(THG!X23)/1000</f>
        <v>89.086723920058958</v>
      </c>
      <c r="Z13" s="100">
        <f>(THG!Y23)/1000</f>
        <v>95.266592560024051</v>
      </c>
      <c r="AA13" s="100">
        <f>(THG!Z23)/1000</f>
        <v>101.22159785128413</v>
      </c>
      <c r="AB13" s="100">
        <f>(THG!AA23)/1000</f>
        <v>84.309456213481695</v>
      </c>
      <c r="AC13" s="100">
        <f>(THG!AB23)/1000</f>
        <v>88.794371476841519</v>
      </c>
      <c r="AD13" s="100">
        <f>(THG!AC23)/1000</f>
        <v>91.699303404450447</v>
      </c>
      <c r="AE13" s="100">
        <f>(THG!AD23)/1000</f>
        <v>90.000755562839714</v>
      </c>
      <c r="AF13" s="100">
        <f>(THG!AE23)/1000</f>
        <v>89.732195867403377</v>
      </c>
      <c r="AG13" s="100">
        <f>(THG!AF23)/1000</f>
        <v>96.50285950914035</v>
      </c>
      <c r="AH13" s="171">
        <f>(THG!AG23)/1000</f>
        <v>95.80456607203881</v>
      </c>
      <c r="AI13" s="171">
        <f>(THG!AH23)/1000</f>
        <v>92.064965266348949</v>
      </c>
      <c r="AJ13" s="171">
        <f>(THG!AI23)/1000</f>
        <v>85.255377412158467</v>
      </c>
      <c r="AK13" s="171">
        <f>(THG!AJ23)/1000</f>
        <v>79.370224997403199</v>
      </c>
      <c r="AL13" s="171">
        <f>(THG!AK23)/1000</f>
        <v>77.903981895117894</v>
      </c>
      <c r="AM13" s="171">
        <f>(THG!AL23)/1000</f>
        <v>79.606964964436202</v>
      </c>
      <c r="AN13" s="90"/>
      <c r="AO13" s="90"/>
      <c r="AP13" s="90"/>
      <c r="AQ13" s="90"/>
      <c r="AR13" s="90"/>
    </row>
    <row r="14" spans="2:44" ht="18.75" customHeight="1">
      <c r="B14" s="118" t="str">
        <f>THG!B24</f>
        <v>CRF 1.A.5 - Militär</v>
      </c>
      <c r="C14" s="101" t="s">
        <v>61</v>
      </c>
      <c r="D14" s="99">
        <f>(THG!C24)/1000</f>
        <v>12.13173192966658</v>
      </c>
      <c r="E14" s="99">
        <f>(THG!D24)/1000</f>
        <v>8.6516319234318271</v>
      </c>
      <c r="F14" s="99">
        <f>(THG!E24)/1000</f>
        <v>6.5649953989656824</v>
      </c>
      <c r="G14" s="99">
        <f>(THG!F24)/1000</f>
        <v>5.2519538543352029</v>
      </c>
      <c r="H14" s="99">
        <f>(THG!G24)/1000</f>
        <v>4.8312152398596444</v>
      </c>
      <c r="I14" s="99">
        <f>(THG!H24)/1000</f>
        <v>4.0226054214970777</v>
      </c>
      <c r="J14" s="99">
        <f>(THG!I24)/1000</f>
        <v>3.1462705611749917</v>
      </c>
      <c r="K14" s="99">
        <f>(THG!J24)/1000</f>
        <v>3.0385583710637438</v>
      </c>
      <c r="L14" s="99">
        <f>(THG!K24)/1000</f>
        <v>3.0486761581455832</v>
      </c>
      <c r="M14" s="99">
        <f>(THG!L24)/1000</f>
        <v>2.6021861925698211</v>
      </c>
      <c r="N14" s="99">
        <f>(THG!M24)/1000</f>
        <v>2.3315585180792273</v>
      </c>
      <c r="O14" s="99">
        <f>(THG!N24)/1000</f>
        <v>1.9105078280801486</v>
      </c>
      <c r="P14" s="99">
        <f>(THG!O24)/1000</f>
        <v>1.9470051258184582</v>
      </c>
      <c r="Q14" s="99">
        <f>(THG!P24)/1000</f>
        <v>2.02450456190182</v>
      </c>
      <c r="R14" s="99">
        <f>(THG!Q24)/1000</f>
        <v>1.7372744754785967</v>
      </c>
      <c r="S14" s="99">
        <f>(THG!R24)/1000</f>
        <v>1.7698903886106301</v>
      </c>
      <c r="T14" s="99">
        <f>(THG!S24)/1000</f>
        <v>1.6110022614363535</v>
      </c>
      <c r="U14" s="99">
        <f>(THG!T24)/1000</f>
        <v>1.335970252184564</v>
      </c>
      <c r="V14" s="99">
        <f>(THG!U24)/1000</f>
        <v>1.3597367088119303</v>
      </c>
      <c r="W14" s="99">
        <f>(THG!V24)/1000</f>
        <v>1.3855351387578694</v>
      </c>
      <c r="X14" s="99">
        <f>(THG!W24)/1000</f>
        <v>1.3432633616901293</v>
      </c>
      <c r="Y14" s="99">
        <f>(THG!X24)/1000</f>
        <v>1.2422647591124414</v>
      </c>
      <c r="Z14" s="99">
        <f>(THG!Y24)/1000</f>
        <v>1.0309375107352325</v>
      </c>
      <c r="AA14" s="99">
        <f>(THG!Z24)/1000</f>
        <v>1.0703757694193712</v>
      </c>
      <c r="AB14" s="99">
        <f>(THG!AA24)/1000</f>
        <v>1.0031497121103408</v>
      </c>
      <c r="AC14" s="99">
        <f>(THG!AB24)/1000</f>
        <v>1.0011166743223623</v>
      </c>
      <c r="AD14" s="99">
        <f>(THG!AC24)/1000</f>
        <v>1.0377093292909556</v>
      </c>
      <c r="AE14" s="99">
        <f>(THG!AD24)/1000</f>
        <v>0.85641483253536632</v>
      </c>
      <c r="AF14" s="99">
        <f>(THG!AE24)/1000</f>
        <v>0.76406154520536507</v>
      </c>
      <c r="AG14" s="99">
        <f>(THG!AF24)/1000</f>
        <v>0.92178459450719852</v>
      </c>
      <c r="AH14" s="170">
        <f>(THG!AG24)/1000</f>
        <v>0.79226058557570345</v>
      </c>
      <c r="AI14" s="170">
        <f>(THG!AH24)/1000</f>
        <v>0.98618626229218742</v>
      </c>
      <c r="AJ14" s="170">
        <f>(THG!AI24)/1000</f>
        <v>0.8646031214956299</v>
      </c>
      <c r="AK14" s="170">
        <f>(THG!AJ24)/1000</f>
        <v>0.86216304423558476</v>
      </c>
      <c r="AL14" s="170">
        <f>(THG!AK24)/1000</f>
        <v>0.60007918519828418</v>
      </c>
      <c r="AM14" s="170">
        <f>(THG!AL24)/1000</f>
        <v>0.66829578842982462</v>
      </c>
      <c r="AN14" s="28"/>
      <c r="AO14" s="28"/>
      <c r="AP14" s="28"/>
      <c r="AQ14" s="28"/>
      <c r="AR14" s="28"/>
    </row>
    <row r="15" spans="2:44" ht="18.75" customHeight="1">
      <c r="B15" s="5" t="str">
        <f>THG!B21</f>
        <v>3 - Gebäude</v>
      </c>
      <c r="C15" s="19" t="s">
        <v>61</v>
      </c>
      <c r="D15" s="20">
        <f>(THG!C21)/1000</f>
        <v>210.02718395860447</v>
      </c>
      <c r="E15" s="20">
        <f>(THG!D21)/1000</f>
        <v>208.43218191371491</v>
      </c>
      <c r="F15" s="20">
        <f>(THG!E21)/1000</f>
        <v>190.27745833234601</v>
      </c>
      <c r="G15" s="20">
        <f>(THG!F21)/1000</f>
        <v>197.00598901780018</v>
      </c>
      <c r="H15" s="20">
        <f>(THG!G21)/1000</f>
        <v>186.22455899557067</v>
      </c>
      <c r="I15" s="20">
        <f>(THG!H21)/1000</f>
        <v>187.71103813361719</v>
      </c>
      <c r="J15" s="20">
        <f>(THG!I21)/1000</f>
        <v>210.88461571151709</v>
      </c>
      <c r="K15" s="20">
        <f>(THG!J21)/1000</f>
        <v>197.65422637239175</v>
      </c>
      <c r="L15" s="20">
        <f>(THG!K21)/1000</f>
        <v>189.51066137449766</v>
      </c>
      <c r="M15" s="20">
        <f>(THG!L21)/1000</f>
        <v>172.83128623370749</v>
      </c>
      <c r="N15" s="20">
        <f>(THG!M21)/1000</f>
        <v>166.7892327464798</v>
      </c>
      <c r="O15" s="20">
        <f>(THG!N21)/1000</f>
        <v>187.07921984220835</v>
      </c>
      <c r="P15" s="20">
        <f>(THG!O21)/1000</f>
        <v>174.08060753960373</v>
      </c>
      <c r="Q15" s="20">
        <f>(THG!P21)/1000</f>
        <v>164.26662697284269</v>
      </c>
      <c r="R15" s="20">
        <f>(THG!Q21)/1000</f>
        <v>152.47315960192765</v>
      </c>
      <c r="S15" s="20">
        <f>(THG!R21)/1000</f>
        <v>151.28573283419718</v>
      </c>
      <c r="T15" s="20">
        <f>(THG!S21)/1000</f>
        <v>160.69538252059579</v>
      </c>
      <c r="U15" s="20">
        <f>(THG!T21)/1000</f>
        <v>122.28272021639604</v>
      </c>
      <c r="V15" s="20">
        <f>(THG!U21)/1000</f>
        <v>147.3433577831774</v>
      </c>
      <c r="W15" s="20">
        <f>(THG!V21)/1000</f>
        <v>137.06661941838667</v>
      </c>
      <c r="X15" s="20">
        <f>(THG!W21)/1000</f>
        <v>145.03437013705775</v>
      </c>
      <c r="Y15" s="20">
        <f>(THG!X21)/1000</f>
        <v>124.85841015963605</v>
      </c>
      <c r="Z15" s="20">
        <f>(THG!Y21)/1000</f>
        <v>129.5906503449369</v>
      </c>
      <c r="AA15" s="20">
        <f>(THG!Z21)/1000</f>
        <v>140.24088491850219</v>
      </c>
      <c r="AB15" s="20">
        <f>(THG!AA21)/1000</f>
        <v>118.63645805072534</v>
      </c>
      <c r="AC15" s="20">
        <f>(THG!AB21)/1000</f>
        <v>124.78356999675545</v>
      </c>
      <c r="AD15" s="20">
        <f>(THG!AC21)/1000</f>
        <v>124.1617541317565</v>
      </c>
      <c r="AE15" s="20">
        <f>(THG!AD21)/1000</f>
        <v>122.98235301164566</v>
      </c>
      <c r="AF15" s="20">
        <f>(THG!AE21)/1000</f>
        <v>117.68587978898627</v>
      </c>
      <c r="AG15" s="20">
        <f>(THG!AF21)/1000</f>
        <v>123.48208895026859</v>
      </c>
      <c r="AH15" s="163">
        <f>(THG!AG21)/1000</f>
        <v>121.56194533243483</v>
      </c>
      <c r="AI15" s="163">
        <f>(THG!AH21)/1000</f>
        <v>117.95820040067062</v>
      </c>
      <c r="AJ15" s="163">
        <f>(THG!AI21)/1000</f>
        <v>111.31260961258033</v>
      </c>
      <c r="AK15" s="163">
        <f>(THG!AJ21)/1000</f>
        <v>102.3588389695604</v>
      </c>
      <c r="AL15" s="163">
        <f>(THG!AK21)/1000</f>
        <v>99.998028143157129</v>
      </c>
      <c r="AM15" s="163">
        <f>(THG!AL21)/1000</f>
        <v>103.36586664073803</v>
      </c>
      <c r="AN15" s="26"/>
      <c r="AO15" s="26"/>
      <c r="AP15" s="26"/>
      <c r="AQ15" s="26"/>
      <c r="AR15" s="26"/>
    </row>
    <row r="16" spans="2:44" ht="18.75" customHeight="1">
      <c r="B16" s="89" t="s">
        <v>116</v>
      </c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100">
        <f>'THG kurz'!AA37/1000</f>
        <v>0.58524769300000001</v>
      </c>
      <c r="AB16" s="100">
        <f>'THG kurz'!AB37/1000</f>
        <v>0.51618188099999995</v>
      </c>
      <c r="AC16" s="100">
        <f>'THG kurz'!AC37/1000</f>
        <v>0.53094730499999998</v>
      </c>
      <c r="AD16" s="100">
        <f>'THG kurz'!AD37/1000</f>
        <v>0.54442831800000002</v>
      </c>
      <c r="AE16" s="100">
        <f>'THG kurz'!AE37/1000</f>
        <v>0.55857967399999997</v>
      </c>
      <c r="AF16" s="100">
        <f>'THG kurz'!AF37/1000</f>
        <v>0.52882127099999998</v>
      </c>
      <c r="AG16" s="100">
        <f>'THG kurz'!AG37/1000</f>
        <v>0.54612023899999995</v>
      </c>
      <c r="AH16" s="171">
        <f>'THG kurz'!AH37/1000</f>
        <v>0.51168907500000005</v>
      </c>
      <c r="AI16" s="171">
        <f>'THG kurz'!AI37/1000</f>
        <v>0.58025822330106402</v>
      </c>
      <c r="AJ16" s="171">
        <f>'THG kurz'!AJ37/1000</f>
        <v>0.54047989125975493</v>
      </c>
      <c r="AK16" s="171">
        <f>'THG kurz'!AK37/1000</f>
        <v>0.50667387624183102</v>
      </c>
      <c r="AL16" s="171">
        <f>'THG kurz'!AL37/1000</f>
        <v>0.50420506229711803</v>
      </c>
      <c r="AM16" s="90"/>
      <c r="AN16" s="90"/>
      <c r="AO16" s="90"/>
      <c r="AP16" s="90"/>
      <c r="AQ16" s="90"/>
      <c r="AR16" s="90"/>
    </row>
    <row r="17" spans="2:44" ht="18.75" customHeight="1">
      <c r="B17" s="34" t="s">
        <v>10</v>
      </c>
      <c r="C17" s="35" t="str">
        <f>'Daten Zielpfadgrafik'!C25</f>
        <v>aktueller Zielpfad**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0">
        <f>'Daten Zielpfadgrafik'!AH25</f>
        <v>118</v>
      </c>
      <c r="AI17" s="20">
        <f>'Daten Zielpfadgrafik'!AI25</f>
        <v>113</v>
      </c>
      <c r="AJ17" s="20">
        <f>'Daten Zielpfadgrafik'!AJ25</f>
        <v>107.44154968536468</v>
      </c>
      <c r="AK17" s="20">
        <f>'Daten Zielpfadgrafik'!AK25</f>
        <v>101.05379676576811</v>
      </c>
      <c r="AL17" s="20">
        <f>'Daten Zielpfadgrafik'!AL25</f>
        <v>95.785339132491416</v>
      </c>
      <c r="AM17" s="20">
        <f>'Daten Zielpfadgrafik'!AM25</f>
        <v>90.083224297380468</v>
      </c>
      <c r="AN17" s="20">
        <f>'Daten Zielpfadgrafik'!AN25</f>
        <v>82.426695828708958</v>
      </c>
      <c r="AO17" s="20">
        <f>'Daten Zielpfadgrafik'!AO25</f>
        <v>77.426695828708958</v>
      </c>
      <c r="AP17" s="20">
        <f>'Daten Zielpfadgrafik'!AP25</f>
        <v>72.426695828708958</v>
      </c>
      <c r="AQ17" s="20">
        <f>'Daten Zielpfadgrafik'!AQ25</f>
        <v>67.426695828708958</v>
      </c>
      <c r="AR17" s="20">
        <f>'Daten Zielpfadgrafik'!AR25</f>
        <v>62.426695828708958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603-5256-45B9-9068-5F45971D23FD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L47"/>
  <sheetViews>
    <sheetView showGridLines="0" zoomScale="70" zoomScaleNormal="70" zoomScalePageLayoutView="150" workbookViewId="0">
      <pane xSplit="2" ySplit="8" topLeftCell="C9" activePane="bottomRight" state="frozen"/>
      <selection activeCell="C1" sqref="C1:C1048576"/>
      <selection pane="topRight" activeCell="C1" sqref="C1:C1048576"/>
      <selection pane="bottomLeft" activeCell="C1" sqref="C1:C1048576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4" width="10.85546875" style="87" customWidth="1"/>
    <col min="35" max="38" width="10.85546875" style="149" customWidth="1"/>
    <col min="39" max="16384" width="11.42578125" style="2"/>
  </cols>
  <sheetData>
    <row r="2" spans="2:38" ht="14.25" customHeight="1">
      <c r="B2" s="1"/>
    </row>
    <row r="3" spans="2:38" ht="22.5" customHeight="1">
      <c r="B3" s="3" t="s">
        <v>25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8">
        <v>43831</v>
      </c>
      <c r="AH4" s="8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41"/>
      <c r="AH5" s="165"/>
      <c r="AI5" s="165"/>
      <c r="AJ5" s="165"/>
      <c r="AK5" s="165"/>
      <c r="AL5" s="165"/>
    </row>
    <row r="6" spans="2:38" s="10" customFormat="1" ht="18.75" customHeight="1">
      <c r="B6" s="24" t="s">
        <v>22</v>
      </c>
      <c r="C6" s="30">
        <f>THG!C6/THG!C$6</f>
        <v>1</v>
      </c>
      <c r="D6" s="30">
        <f>THG!D6/THG!D$6</f>
        <v>1</v>
      </c>
      <c r="E6" s="30">
        <f>THG!E6/THG!E$6</f>
        <v>1</v>
      </c>
      <c r="F6" s="30">
        <f>THG!F6/THG!F$6</f>
        <v>1</v>
      </c>
      <c r="G6" s="30">
        <f>THG!G6/THG!G$6</f>
        <v>1</v>
      </c>
      <c r="H6" s="30">
        <f>THG!H6/THG!H$6</f>
        <v>1</v>
      </c>
      <c r="I6" s="30">
        <f>THG!I6/THG!I$6</f>
        <v>1</v>
      </c>
      <c r="J6" s="30">
        <f>THG!J6/THG!J$6</f>
        <v>1</v>
      </c>
      <c r="K6" s="30">
        <f>THG!K6/THG!K$6</f>
        <v>1</v>
      </c>
      <c r="L6" s="30">
        <f>THG!L6/THG!L$6</f>
        <v>1</v>
      </c>
      <c r="M6" s="30">
        <f>THG!M6/THG!M$6</f>
        <v>1</v>
      </c>
      <c r="N6" s="30">
        <f>THG!N6/THG!N$6</f>
        <v>1</v>
      </c>
      <c r="O6" s="30">
        <f>THG!O6/THG!O$6</f>
        <v>1</v>
      </c>
      <c r="P6" s="30">
        <f>THG!P6/THG!P$6</f>
        <v>1</v>
      </c>
      <c r="Q6" s="30">
        <f>THG!Q6/THG!Q$6</f>
        <v>1</v>
      </c>
      <c r="R6" s="30">
        <f>THG!R6/THG!R$6</f>
        <v>1</v>
      </c>
      <c r="S6" s="30">
        <f>THG!S6/THG!S$6</f>
        <v>1</v>
      </c>
      <c r="T6" s="30">
        <f>THG!T6/THG!T$6</f>
        <v>1</v>
      </c>
      <c r="U6" s="30">
        <f>THG!U6/THG!U$6</f>
        <v>1</v>
      </c>
      <c r="V6" s="30">
        <f>THG!V6/THG!V$6</f>
        <v>1</v>
      </c>
      <c r="W6" s="30">
        <f>THG!W6/THG!W$6</f>
        <v>1</v>
      </c>
      <c r="X6" s="30">
        <f>THG!X6/THG!X$6</f>
        <v>1</v>
      </c>
      <c r="Y6" s="30">
        <f>THG!Y6/THG!Y$6</f>
        <v>1</v>
      </c>
      <c r="Z6" s="30">
        <f>THG!Z6/THG!Z$6</f>
        <v>1</v>
      </c>
      <c r="AA6" s="30">
        <f>THG!AA6/THG!AA$6</f>
        <v>1</v>
      </c>
      <c r="AB6" s="30">
        <f>THG!AB6/THG!AB$6</f>
        <v>1</v>
      </c>
      <c r="AC6" s="30">
        <f>THG!AC6/THG!AC$6</f>
        <v>1</v>
      </c>
      <c r="AD6" s="30">
        <f>THG!AD6/THG!AD$6</f>
        <v>1</v>
      </c>
      <c r="AE6" s="30">
        <f>THG!AE6/THG!AE$6</f>
        <v>1</v>
      </c>
      <c r="AF6" s="30">
        <f>THG!AF6/THG!AF$6</f>
        <v>1</v>
      </c>
      <c r="AG6" s="30">
        <f>THG!AG6/THG!AG$6</f>
        <v>1</v>
      </c>
      <c r="AH6" s="30">
        <f>THG!AH6/THG!AH$6</f>
        <v>1</v>
      </c>
      <c r="AI6" s="30">
        <f>THG!AI6/THG!AI$6</f>
        <v>1</v>
      </c>
      <c r="AJ6" s="30">
        <f>THG!AJ6/THG!AJ$6</f>
        <v>1</v>
      </c>
      <c r="AK6" s="30">
        <f>THG!AK6/THG!AK$6</f>
        <v>1</v>
      </c>
      <c r="AL6" s="30">
        <f>THG!AL6/THG!AL$6</f>
        <v>1</v>
      </c>
    </row>
    <row r="7" spans="2:38" s="10" customFormat="1" ht="18.75" customHeight="1">
      <c r="B7" s="22" t="s">
        <v>23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</row>
    <row r="8" spans="2:38" ht="18.75" customHeight="1">
      <c r="B8" s="1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91"/>
      <c r="AH8" s="91"/>
      <c r="AI8" s="91"/>
      <c r="AJ8" s="91"/>
      <c r="AK8" s="91"/>
      <c r="AL8" s="91"/>
    </row>
    <row r="9" spans="2:38" s="10" customFormat="1" ht="18.75" customHeight="1">
      <c r="B9" s="5" t="s">
        <v>8</v>
      </c>
      <c r="C9" s="31">
        <f>THG!C9/THG!C$6</f>
        <v>0.3788733747461564</v>
      </c>
      <c r="D9" s="31">
        <f>THG!D9/THG!D$6</f>
        <v>0.38126046793253504</v>
      </c>
      <c r="E9" s="31">
        <f>THG!E9/THG!E$6</f>
        <v>0.37624225987451604</v>
      </c>
      <c r="F9" s="31">
        <f>THG!F9/THG!F$6</f>
        <v>0.37086314414638294</v>
      </c>
      <c r="G9" s="31">
        <f>THG!G9/THG!G$6</f>
        <v>0.37143078628911808</v>
      </c>
      <c r="H9" s="31">
        <f>THG!H9/THG!H$6</f>
        <v>0.36223902959344567</v>
      </c>
      <c r="I9" s="31">
        <f>THG!I9/THG!I$6</f>
        <v>0.36210928929395686</v>
      </c>
      <c r="J9" s="31">
        <f>THG!J9/THG!J$6</f>
        <v>0.35392836639817127</v>
      </c>
      <c r="K9" s="31">
        <f>THG!K9/THG!K$6</f>
        <v>0.3620098747675331</v>
      </c>
      <c r="L9" s="31">
        <f>THG!L9/THG!L$6</f>
        <v>0.36344235666945968</v>
      </c>
      <c r="M9" s="31">
        <f>THG!M9/THG!M$6</f>
        <v>0.37473535598323832</v>
      </c>
      <c r="N9" s="31">
        <f>THG!N9/THG!N$6</f>
        <v>0.3792003576014803</v>
      </c>
      <c r="O9" s="31">
        <f>THG!O9/THG!O$6</f>
        <v>0.38678220738057029</v>
      </c>
      <c r="P9" s="31">
        <f>THG!P9/THG!P$6</f>
        <v>0.40462100155761688</v>
      </c>
      <c r="Q9" s="31">
        <f>THG!Q9/THG!Q$6</f>
        <v>0.40724837422856236</v>
      </c>
      <c r="R9" s="31">
        <f>THG!R9/THG!R$6</f>
        <v>0.40710440425160616</v>
      </c>
      <c r="S9" s="31">
        <f>THG!S9/THG!S$6</f>
        <v>0.40232259813070576</v>
      </c>
      <c r="T9" s="31">
        <f>THG!T9/THG!T$6</f>
        <v>0.42114669619809236</v>
      </c>
      <c r="U9" s="31">
        <f>THG!U9/THG!U$6</f>
        <v>0.40212484762288597</v>
      </c>
      <c r="V9" s="31">
        <f>THG!V9/THG!V$6</f>
        <v>0.40170723609615128</v>
      </c>
      <c r="W9" s="31">
        <f>THG!W9/THG!W$6</f>
        <v>0.39923793970629057</v>
      </c>
      <c r="X9" s="31">
        <f>THG!X9/THG!X$6</f>
        <v>0.40538864462833973</v>
      </c>
      <c r="Y9" s="31">
        <f>THG!Y9/THG!Y$6</f>
        <v>0.41418385525044388</v>
      </c>
      <c r="Z9" s="31">
        <f>THG!Z9/THG!Z$6</f>
        <v>0.41038243717089462</v>
      </c>
      <c r="AA9" s="31">
        <f>THG!AA9/THG!AA$6</f>
        <v>0.40550623481778009</v>
      </c>
      <c r="AB9" s="31">
        <f>THG!AB9/THG!AB$6</f>
        <v>0.39137537889037455</v>
      </c>
      <c r="AC9" s="31">
        <f>THG!AC9/THG!AC$6</f>
        <v>0.38529149925894141</v>
      </c>
      <c r="AD9" s="31">
        <f>THG!AD9/THG!AD$6</f>
        <v>0.36879574280856819</v>
      </c>
      <c r="AE9" s="31">
        <f>THG!AE9/THG!AE$6</f>
        <v>0.36665005312109461</v>
      </c>
      <c r="AF9" s="31">
        <f>THG!AF9/THG!AF$6</f>
        <v>0.32478375935679621</v>
      </c>
      <c r="AG9" s="31">
        <f>THG!AG9/THG!AG$6</f>
        <v>0.30109921665519085</v>
      </c>
      <c r="AH9" s="31">
        <f>THG!AH9/THG!AH$6</f>
        <v>0.32484447151693896</v>
      </c>
      <c r="AI9" s="31">
        <f>THG!AI9/THG!AI$6</f>
        <v>0.34442743675662152</v>
      </c>
      <c r="AJ9" s="31">
        <f>THG!AJ9/THG!AJ$6</f>
        <v>0.30590727069280588</v>
      </c>
      <c r="AK9" s="31">
        <f>THG!AK9/THG!AK$6</f>
        <v>0.29194750807138831</v>
      </c>
      <c r="AL9" s="31">
        <f>THG!AL9/THG!AL$6</f>
        <v>0.29141266057464926</v>
      </c>
    </row>
    <row r="10" spans="2:38" ht="18.75" customHeight="1">
      <c r="B10" s="17" t="s">
        <v>0</v>
      </c>
      <c r="C10" s="32">
        <f>THG!C10/THG!C$6</f>
        <v>0.34400550902193644</v>
      </c>
      <c r="D10" s="32">
        <f>THG!D10/THG!D$6</f>
        <v>0.34585711721446</v>
      </c>
      <c r="E10" s="32">
        <f>THG!E10/THG!E$6</f>
        <v>0.34158328634903851</v>
      </c>
      <c r="F10" s="32">
        <f>THG!F10/THG!F$6</f>
        <v>0.33474871534292805</v>
      </c>
      <c r="G10" s="32">
        <f>THG!G10/THG!G$6</f>
        <v>0.33777588722064744</v>
      </c>
      <c r="H10" s="32">
        <f>THG!H10/THG!H$6</f>
        <v>0.32952710317232498</v>
      </c>
      <c r="I10" s="32">
        <f>THG!I10/THG!I$6</f>
        <v>0.33068735025525281</v>
      </c>
      <c r="J10" s="32">
        <f>THG!J10/THG!J$6</f>
        <v>0.32220741705301914</v>
      </c>
      <c r="K10" s="32">
        <f>THG!K10/THG!K$6</f>
        <v>0.332284709460612</v>
      </c>
      <c r="L10" s="32">
        <f>THG!L10/THG!L$6</f>
        <v>0.33166233913097942</v>
      </c>
      <c r="M10" s="32">
        <f>THG!M10/THG!M$6</f>
        <v>0.3449579424612062</v>
      </c>
      <c r="N10" s="32">
        <f>THG!N10/THG!N$6</f>
        <v>0.35226125461211155</v>
      </c>
      <c r="O10" s="32">
        <f>THG!O10/THG!O$6</f>
        <v>0.36057755570159744</v>
      </c>
      <c r="P10" s="32">
        <f>THG!P10/THG!P$6</f>
        <v>0.38040683577381346</v>
      </c>
      <c r="Q10" s="32">
        <f>THG!Q10/THG!Q$6</f>
        <v>0.38564154754727598</v>
      </c>
      <c r="R10" s="32">
        <f>THG!R10/THG!R$6</f>
        <v>0.38712001356030368</v>
      </c>
      <c r="S10" s="32">
        <f>THG!S10/THG!S$6</f>
        <v>0.38440378801350178</v>
      </c>
      <c r="T10" s="32">
        <f>THG!T10/THG!T$6</f>
        <v>0.40452634655349334</v>
      </c>
      <c r="U10" s="32">
        <f>THG!U10/THG!U$6</f>
        <v>0.38603588171229092</v>
      </c>
      <c r="V10" s="32">
        <f>THG!V10/THG!V$6</f>
        <v>0.3866354128240434</v>
      </c>
      <c r="W10" s="32">
        <f>THG!W10/THG!W$6</f>
        <v>0.38518882704365665</v>
      </c>
      <c r="X10" s="32">
        <f>THG!X10/THG!X$6</f>
        <v>0.39138265074028133</v>
      </c>
      <c r="Y10" s="32">
        <f>THG!Y10/THG!Y$6</f>
        <v>0.39967174755008067</v>
      </c>
      <c r="Z10" s="32">
        <f>THG!Z10/THG!Z$6</f>
        <v>0.39684820093845768</v>
      </c>
      <c r="AA10" s="32">
        <f>THG!AA10/THG!AA$6</f>
        <v>0.39317828165130825</v>
      </c>
      <c r="AB10" s="32">
        <f>THG!AB10/THG!AB$6</f>
        <v>0.37923960714978</v>
      </c>
      <c r="AC10" s="32">
        <f>THG!AC10/THG!AC$6</f>
        <v>0.37451597179824248</v>
      </c>
      <c r="AD10" s="32">
        <f>THG!AD10/THG!AD$6</f>
        <v>0.35808224562787233</v>
      </c>
      <c r="AE10" s="32">
        <f>THG!AE10/THG!AE$6</f>
        <v>0.35724219928251022</v>
      </c>
      <c r="AF10" s="32">
        <f>THG!AF10/THG!AF$6</f>
        <v>0.31736682728170362</v>
      </c>
      <c r="AG10" s="91">
        <f>THG!AG10/THG!AG$6</f>
        <v>0.29443528544460706</v>
      </c>
      <c r="AH10" s="91">
        <f>THG!AH10/THG!AH$6</f>
        <v>0.31848260887540891</v>
      </c>
      <c r="AI10" s="91">
        <f>THG!AI10/THG!AI$6</f>
        <v>0.33760121455617537</v>
      </c>
      <c r="AJ10" s="91">
        <f>THG!AJ10/THG!AJ$6</f>
        <v>0.29912643795664773</v>
      </c>
      <c r="AK10" s="91">
        <f>THG!AK10/THG!AK$6</f>
        <v>0.28529152785515999</v>
      </c>
      <c r="AL10" s="91">
        <f>THG!AL10/THG!AL$6</f>
        <v>0.28463236474801529</v>
      </c>
    </row>
    <row r="11" spans="2:38" s="87" customFormat="1" ht="18.75" customHeight="1">
      <c r="B11" s="18" t="s">
        <v>2</v>
      </c>
      <c r="C11" s="33">
        <f>THG!C11/THG!C$6</f>
        <v>8.7948248610787607E-4</v>
      </c>
      <c r="D11" s="33">
        <f>THG!D11/THG!D$6</f>
        <v>9.6056848511669288E-4</v>
      </c>
      <c r="E11" s="33">
        <f>THG!E11/THG!E$6</f>
        <v>9.8987821689221298E-4</v>
      </c>
      <c r="F11" s="33">
        <f>THG!F11/THG!F$6</f>
        <v>1.0555853595174995E-3</v>
      </c>
      <c r="G11" s="33">
        <f>THG!G11/THG!G$6</f>
        <v>1.0913080878084626E-3</v>
      </c>
      <c r="H11" s="33">
        <f>THG!H11/THG!H$6</f>
        <v>1.1987735158315103E-3</v>
      </c>
      <c r="I11" s="33">
        <f>THG!I11/THG!I$6</f>
        <v>1.3213248092103335E-3</v>
      </c>
      <c r="J11" s="33">
        <f>THG!J11/THG!J$6</f>
        <v>1.3024702057593492E-3</v>
      </c>
      <c r="K11" s="33">
        <f>THG!K11/THG!K$6</f>
        <v>1.3427117064208464E-3</v>
      </c>
      <c r="L11" s="33">
        <f>THG!L11/THG!L$6</f>
        <v>1.3817885583012586E-3</v>
      </c>
      <c r="M11" s="33">
        <f>THG!M11/THG!M$6</f>
        <v>1.3723922650776561E-3</v>
      </c>
      <c r="N11" s="33">
        <f>THG!N11/THG!N$6</f>
        <v>1.4285118192405831E-3</v>
      </c>
      <c r="O11" s="33">
        <f>THG!O11/THG!O$6</f>
        <v>1.5646345163788996E-3</v>
      </c>
      <c r="P11" s="33">
        <f>THG!P11/THG!P$6</f>
        <v>1.4795366545093816E-3</v>
      </c>
      <c r="Q11" s="33">
        <f>THG!Q11/THG!Q$6</f>
        <v>1.519197734253684E-3</v>
      </c>
      <c r="R11" s="33">
        <f>THG!R11/THG!R$6</f>
        <v>1.5175308216298074E-3</v>
      </c>
      <c r="S11" s="33">
        <f>THG!S11/THG!S$6</f>
        <v>1.6897276331859824E-3</v>
      </c>
      <c r="T11" s="33">
        <f>THG!T11/THG!T$6</f>
        <v>1.4343929322472697E-3</v>
      </c>
      <c r="U11" s="33">
        <f>THG!U11/THG!U$6</f>
        <v>1.5046794057889952E-3</v>
      </c>
      <c r="V11" s="33">
        <f>THG!V11/THG!V$6</f>
        <v>1.5194558285058632E-3</v>
      </c>
      <c r="W11" s="33">
        <f>THG!W11/THG!W$6</f>
        <v>1.2763108584910861E-3</v>
      </c>
      <c r="X11" s="33">
        <f>THG!X11/THG!X$6</f>
        <v>1.3699127974533432E-3</v>
      </c>
      <c r="Y11" s="33">
        <f>THG!Y11/THG!Y$6</f>
        <v>1.3659791732450418E-3</v>
      </c>
      <c r="Z11" s="33">
        <f>THG!Z11/THG!Z$6</f>
        <v>1.5899754024682217E-3</v>
      </c>
      <c r="AA11" s="33">
        <f>THG!AA11/THG!AA$6</f>
        <v>1.3525610870754293E-3</v>
      </c>
      <c r="AB11" s="33">
        <f>THG!AB11/THG!AB$6</f>
        <v>1.3880214012242144E-3</v>
      </c>
      <c r="AC11" s="33">
        <f>THG!AC11/THG!AC$6</f>
        <v>1.179218138874182E-3</v>
      </c>
      <c r="AD11" s="33">
        <f>THG!AD11/THG!AD$6</f>
        <v>1.4309779658941233E-3</v>
      </c>
      <c r="AE11" s="33">
        <f>THG!AE11/THG!AE$6</f>
        <v>1.5844343548224518E-3</v>
      </c>
      <c r="AF11" s="33">
        <f>THG!AF11/THG!AF$6</f>
        <v>1.5161627675715995E-3</v>
      </c>
      <c r="AG11" s="33">
        <f>THG!AG11/THG!AG$6</f>
        <v>1.0639021524890004E-3</v>
      </c>
      <c r="AH11" s="33">
        <f>THG!AH11/THG!AH$6</f>
        <v>1.1107375236740983E-3</v>
      </c>
      <c r="AI11" s="33">
        <f>THG!AI11/THG!AI$6</f>
        <v>1.7956038228245004E-3</v>
      </c>
      <c r="AJ11" s="33">
        <f>THG!AJ11/THG!AJ$6</f>
        <v>1.4163044768490942E-3</v>
      </c>
      <c r="AK11" s="33">
        <f>THG!AK11/THG!AK$6</f>
        <v>1.0524066611246235E-3</v>
      </c>
      <c r="AL11" s="33">
        <f>THG!AL11/THG!AL$6</f>
        <v>1.1887672358577741E-3</v>
      </c>
    </row>
    <row r="12" spans="2:38" s="87" customFormat="1" ht="18.75" customHeight="1">
      <c r="B12" s="89" t="s">
        <v>1</v>
      </c>
      <c r="C12" s="91">
        <f>THG!C12/THG!C$6</f>
        <v>3.3988383238112096E-2</v>
      </c>
      <c r="D12" s="91">
        <f>THG!D12/THG!D$6</f>
        <v>3.4442782232958345E-2</v>
      </c>
      <c r="E12" s="91">
        <f>THG!E12/THG!E$6</f>
        <v>3.3669095308585341E-2</v>
      </c>
      <c r="F12" s="91">
        <f>THG!F12/THG!F$6</f>
        <v>3.5058843443937386E-2</v>
      </c>
      <c r="G12" s="91">
        <f>THG!G12/THG!G$6</f>
        <v>3.2563590980662166E-2</v>
      </c>
      <c r="H12" s="91">
        <f>THG!H12/THG!H$6</f>
        <v>3.1513152905289242E-2</v>
      </c>
      <c r="I12" s="91">
        <f>THG!I12/THG!I$6</f>
        <v>3.0100614229493703E-2</v>
      </c>
      <c r="J12" s="91">
        <f>THG!J12/THG!J$6</f>
        <v>3.0418479139392766E-2</v>
      </c>
      <c r="K12" s="91">
        <f>THG!K12/THG!K$6</f>
        <v>2.8382453600500238E-2</v>
      </c>
      <c r="L12" s="91">
        <f>THG!L12/THG!L$6</f>
        <v>3.0398228980178986E-2</v>
      </c>
      <c r="M12" s="91">
        <f>THG!M12/THG!M$6</f>
        <v>2.8405021256954495E-2</v>
      </c>
      <c r="N12" s="91">
        <f>THG!N12/THG!N$6</f>
        <v>2.5510591170128168E-2</v>
      </c>
      <c r="O12" s="91">
        <f>THG!O12/THG!O$6</f>
        <v>2.4640017162593997E-2</v>
      </c>
      <c r="P12" s="91">
        <f>THG!P12/THG!P$6</f>
        <v>2.2734629129294071E-2</v>
      </c>
      <c r="Q12" s="91">
        <f>THG!Q12/THG!Q$6</f>
        <v>2.0087628947032685E-2</v>
      </c>
      <c r="R12" s="91">
        <f>THG!R12/THG!R$6</f>
        <v>1.8466859869672694E-2</v>
      </c>
      <c r="S12" s="91">
        <f>THG!S12/THG!S$6</f>
        <v>1.6229082484017967E-2</v>
      </c>
      <c r="T12" s="91">
        <f>THG!T12/THG!T$6</f>
        <v>1.5185956712351725E-2</v>
      </c>
      <c r="U12" s="91">
        <f>THG!U12/THG!U$6</f>
        <v>1.4584286504806025E-2</v>
      </c>
      <c r="V12" s="91">
        <f>THG!V12/THG!V$6</f>
        <v>1.3552367443601951E-2</v>
      </c>
      <c r="W12" s="91">
        <f>THG!W12/THG!W$6</f>
        <v>1.2772801804142836E-2</v>
      </c>
      <c r="X12" s="91">
        <f>THG!X12/THG!X$6</f>
        <v>1.2636081090605005E-2</v>
      </c>
      <c r="Y12" s="91">
        <f>THG!Y12/THG!Y$6</f>
        <v>1.3146128527118158E-2</v>
      </c>
      <c r="Z12" s="91">
        <f>THG!Z12/THG!Z$6</f>
        <v>1.1944260829968693E-2</v>
      </c>
      <c r="AA12" s="91">
        <f>THG!AA12/THG!AA$6</f>
        <v>1.0975392079396431E-2</v>
      </c>
      <c r="AB12" s="91">
        <f>THG!AB12/THG!AB$6</f>
        <v>1.0747750339370275E-2</v>
      </c>
      <c r="AC12" s="91">
        <f>THG!AC12/THG!AC$6</f>
        <v>9.5963093218247291E-3</v>
      </c>
      <c r="AD12" s="91">
        <f>THG!AD12/THG!AD$6</f>
        <v>9.2825192148017835E-3</v>
      </c>
      <c r="AE12" s="91">
        <f>THG!AE12/THG!AE$6</f>
        <v>7.8234194837619331E-3</v>
      </c>
      <c r="AF12" s="91">
        <f>THG!AF12/THG!AF$6</f>
        <v>5.9007693075209802E-3</v>
      </c>
      <c r="AG12" s="91">
        <f>THG!AG12/THG!AG$6</f>
        <v>5.6000290580947663E-3</v>
      </c>
      <c r="AH12" s="91">
        <f>THG!AH12/THG!AH$6</f>
        <v>5.2511251178559513E-3</v>
      </c>
      <c r="AI12" s="91">
        <f>THG!AI12/THG!AI$6</f>
        <v>5.0306183776217131E-3</v>
      </c>
      <c r="AJ12" s="91">
        <f>THG!AJ12/THG!AJ$6</f>
        <v>5.3645282593090147E-3</v>
      </c>
      <c r="AK12" s="91">
        <f>THG!AK12/THG!AK$6</f>
        <v>5.6035735551036936E-3</v>
      </c>
      <c r="AL12" s="91">
        <f>THG!AL12/THG!AL$6</f>
        <v>5.5915285907762345E-3</v>
      </c>
    </row>
    <row r="13" spans="2:38" s="10" customFormat="1" ht="18.75" customHeight="1">
      <c r="B13" s="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spans="2:38" s="10" customFormat="1" ht="18.75" customHeight="1">
      <c r="B14" s="6" t="s">
        <v>9</v>
      </c>
      <c r="C14" s="30">
        <f>THG!C14/THG!C$6</f>
        <v>0.22155881517442197</v>
      </c>
      <c r="D14" s="30">
        <f>THG!D14/THG!D$6</f>
        <v>0.20914777527144718</v>
      </c>
      <c r="E14" s="30">
        <f>THG!E14/THG!E$6</f>
        <v>0.20812571658687165</v>
      </c>
      <c r="F14" s="30">
        <f>THG!F14/THG!F$6</f>
        <v>0.20138145060025112</v>
      </c>
      <c r="G14" s="30">
        <f>THG!G14/THG!G$6</f>
        <v>0.20767392170990748</v>
      </c>
      <c r="H14" s="30">
        <f>THG!H14/THG!H$6</f>
        <v>0.2107175827067552</v>
      </c>
      <c r="I14" s="30">
        <f>THG!I14/THG!I$6</f>
        <v>0.19778356744971903</v>
      </c>
      <c r="J14" s="30">
        <f>THG!J14/THG!J$6</f>
        <v>0.20824515627292911</v>
      </c>
      <c r="K14" s="30">
        <f>THG!K14/THG!K$6</f>
        <v>0.19730731937467202</v>
      </c>
      <c r="L14" s="30">
        <f>THG!L14/THG!L$6</f>
        <v>0.19415785906996436</v>
      </c>
      <c r="M14" s="30">
        <f>THG!M14/THG!M$6</f>
        <v>0.1941455742976424</v>
      </c>
      <c r="N14" s="30">
        <f>THG!N14/THG!N$6</f>
        <v>0.1815865048005991</v>
      </c>
      <c r="O14" s="30">
        <f>THG!O14/THG!O$6</f>
        <v>0.18303233228573518</v>
      </c>
      <c r="P14" s="30">
        <f>THG!P14/THG!P$6</f>
        <v>0.18345724212196643</v>
      </c>
      <c r="Q14" s="30">
        <f>THG!Q14/THG!Q$6</f>
        <v>0.18706396077246301</v>
      </c>
      <c r="R14" s="30">
        <f>THG!R14/THG!R$6</f>
        <v>0.18836012660260884</v>
      </c>
      <c r="S14" s="30">
        <f>THG!S14/THG!S$6</f>
        <v>0.1904581471073151</v>
      </c>
      <c r="T14" s="30">
        <f>THG!T14/THG!T$6</f>
        <v>0.20651643700661537</v>
      </c>
      <c r="U14" s="30">
        <f>THG!U14/THG!U$6</f>
        <v>0.20260937801882151</v>
      </c>
      <c r="V14" s="30">
        <f>THG!V14/THG!V$6</f>
        <v>0.18846738778821515</v>
      </c>
      <c r="W14" s="30">
        <f>THG!W14/THG!W$6</f>
        <v>0.19686967842013317</v>
      </c>
      <c r="X14" s="30">
        <f>THG!X14/THG!X$6</f>
        <v>0.20023404172704989</v>
      </c>
      <c r="Y14" s="30">
        <f>THG!Y14/THG!Y$6</f>
        <v>0.19301920349801729</v>
      </c>
      <c r="Z14" s="30">
        <f>THG!Z14/THG!Z$6</f>
        <v>0.18887997324381531</v>
      </c>
      <c r="AA14" s="30">
        <f>THG!AA14/THG!AA$6</f>
        <v>0.19665606934064811</v>
      </c>
      <c r="AB14" s="30">
        <f>THG!AB14/THG!AB$6</f>
        <v>0.20351414717778274</v>
      </c>
      <c r="AC14" s="30">
        <f>THG!AC14/THG!AC$6</f>
        <v>0.20752517690010838</v>
      </c>
      <c r="AD14" s="30">
        <f>THG!AD14/THG!AD$6</f>
        <v>0.21697895064685901</v>
      </c>
      <c r="AE14" s="30">
        <f>THG!AE14/THG!AE$6</f>
        <v>0.21729782269118941</v>
      </c>
      <c r="AF14" s="30">
        <f>THG!AF14/THG!AF$6</f>
        <v>0.22431825272688286</v>
      </c>
      <c r="AG14" s="30">
        <f>THG!AG14/THG!AG$6</f>
        <v>0.23575055508418899</v>
      </c>
      <c r="AH14" s="30">
        <f>THG!AH14/THG!AH$6</f>
        <v>0.23607573495529871</v>
      </c>
      <c r="AI14" s="30">
        <f>THG!AI14/THG!AI$6</f>
        <v>0.21920857237012106</v>
      </c>
      <c r="AJ14" s="30">
        <f>THG!AJ14/THG!AJ$6</f>
        <v>0.22360323701137108</v>
      </c>
      <c r="AK14" s="30">
        <f>THG!AK14/THG!AK$6</f>
        <v>0.23049269115184651</v>
      </c>
      <c r="AL14" s="30">
        <f>THG!AL14/THG!AL$6</f>
        <v>0.22214378262505979</v>
      </c>
    </row>
    <row r="15" spans="2:38" ht="18.75" customHeight="1">
      <c r="B15" s="18" t="s">
        <v>24</v>
      </c>
      <c r="C15" s="33">
        <f>THG!C15/THG!C$6</f>
        <v>0.14717200809986747</v>
      </c>
      <c r="D15" s="33">
        <f>THG!D15/THG!D$6</f>
        <v>0.13491920882117117</v>
      </c>
      <c r="E15" s="33">
        <f>THG!E15/THG!E$6</f>
        <v>0.13081074964618528</v>
      </c>
      <c r="F15" s="33">
        <f>THG!F15/THG!F$6</f>
        <v>0.12232772067459559</v>
      </c>
      <c r="G15" s="33">
        <f>THG!G15/THG!G$6</f>
        <v>0.12249997906467081</v>
      </c>
      <c r="H15" s="33">
        <f>THG!H15/THG!H$6</f>
        <v>0.12638046154855634</v>
      </c>
      <c r="I15" s="33">
        <f>THG!I15/THG!I$6</f>
        <v>0.11633992345614909</v>
      </c>
      <c r="J15" s="33">
        <f>THG!J15/THG!J$6</f>
        <v>0.12366029762850765</v>
      </c>
      <c r="K15" s="33">
        <f>THG!K15/THG!K$6</f>
        <v>0.12231189773227616</v>
      </c>
      <c r="L15" s="33">
        <f>THG!L15/THG!L$6</f>
        <v>0.12394173223814796</v>
      </c>
      <c r="M15" s="33">
        <f>THG!M15/THG!M$6</f>
        <v>0.12071107014274884</v>
      </c>
      <c r="N15" s="33">
        <f>THG!N15/THG!N$6</f>
        <v>0.11246551832792463</v>
      </c>
      <c r="O15" s="33">
        <f>THG!O15/THG!O$6</f>
        <v>0.11404001078659501</v>
      </c>
      <c r="P15" s="33">
        <f>THG!P15/THG!P$6</f>
        <v>0.11150943040517648</v>
      </c>
      <c r="Q15" s="33">
        <f>THG!Q15/THG!Q$6</f>
        <v>0.11195453867392605</v>
      </c>
      <c r="R15" s="33">
        <f>THG!R15/THG!R$6</f>
        <v>0.1147946049576536</v>
      </c>
      <c r="S15" s="33">
        <f>THG!S15/THG!S$6</f>
        <v>0.11754570564072346</v>
      </c>
      <c r="T15" s="33">
        <f>THG!T15/THG!T$6</f>
        <v>0.12740406752779709</v>
      </c>
      <c r="U15" s="33">
        <f>THG!U15/THG!U$6</f>
        <v>0.12793044259729139</v>
      </c>
      <c r="V15" s="33">
        <f>THG!V15/THG!V$6</f>
        <v>0.11736242177879333</v>
      </c>
      <c r="W15" s="33">
        <f>THG!W15/THG!W$6</f>
        <v>0.13059555675173373</v>
      </c>
      <c r="X15" s="33">
        <f>THG!X15/THG!X$6</f>
        <v>0.13051471396203149</v>
      </c>
      <c r="Y15" s="33">
        <f>THG!Y15/THG!Y$6</f>
        <v>0.12704950317762873</v>
      </c>
      <c r="Z15" s="33">
        <f>THG!Z15/THG!Z$6</f>
        <v>0.12439331328387124</v>
      </c>
      <c r="AA15" s="33">
        <f>THG!AA15/THG!AA$6</f>
        <v>0.12885195017659376</v>
      </c>
      <c r="AB15" s="33">
        <f>THG!AB15/THG!AB$6</f>
        <v>0.13687804566356263</v>
      </c>
      <c r="AC15" s="33">
        <f>THG!AC15/THG!AC$6</f>
        <v>0.1391718192324547</v>
      </c>
      <c r="AD15" s="33">
        <f>THG!AD15/THG!AD$6</f>
        <v>0.14332204038974186</v>
      </c>
      <c r="AE15" s="33">
        <f>THG!AE15/THG!AE$6</f>
        <v>0.14409182932231868</v>
      </c>
      <c r="AF15" s="33">
        <f>THG!AF15/THG!AF$6</f>
        <v>0.15030602021858142</v>
      </c>
      <c r="AG15" s="33">
        <f>THG!AG15/THG!AG$6</f>
        <v>0.16059970076387703</v>
      </c>
      <c r="AH15" s="33">
        <f>THG!AH15/THG!AH$6</f>
        <v>0.16157496009198483</v>
      </c>
      <c r="AI15" s="33">
        <f>THG!AI15/THG!AI$6</f>
        <v>0.15054741038053326</v>
      </c>
      <c r="AJ15" s="33">
        <f>THG!AJ15/THG!AJ$6</f>
        <v>0.15337624814849168</v>
      </c>
      <c r="AK15" s="33">
        <f>THG!AK15/THG!AK$6</f>
        <v>0.15679063165589033</v>
      </c>
      <c r="AL15" s="33">
        <f>THG!AL15/THG!AL$6</f>
        <v>0.15135114644764253</v>
      </c>
    </row>
    <row r="16" spans="2:38" ht="18.75" customHeight="1">
      <c r="B16" s="17" t="s">
        <v>11</v>
      </c>
      <c r="C16" s="32">
        <f>THG!C16/THG!C$6</f>
        <v>1.8770930453831242E-2</v>
      </c>
      <c r="D16" s="32">
        <f>THG!D16/THG!D$6</f>
        <v>1.7697212175026789E-2</v>
      </c>
      <c r="E16" s="32">
        <f>THG!E16/THG!E$6</f>
        <v>1.9115279559324457E-2</v>
      </c>
      <c r="F16" s="32">
        <f>THG!F16/THG!F$6</f>
        <v>1.9617951448650486E-2</v>
      </c>
      <c r="G16" s="32">
        <f>THG!G16/THG!G$6</f>
        <v>2.1341356116861745E-2</v>
      </c>
      <c r="H16" s="32">
        <f>THG!H16/THG!H$6</f>
        <v>2.1797518725459413E-2</v>
      </c>
      <c r="I16" s="32">
        <f>THG!I16/THG!I$6</f>
        <v>2.024205403488457E-2</v>
      </c>
      <c r="J16" s="32">
        <f>THG!J16/THG!J$6</f>
        <v>2.1362357557962224E-2</v>
      </c>
      <c r="K16" s="32">
        <f>THG!K16/THG!K$6</f>
        <v>2.1852778544382109E-2</v>
      </c>
      <c r="L16" s="32">
        <f>THG!L16/THG!L$6</f>
        <v>2.2678098005673424E-2</v>
      </c>
      <c r="M16" s="32">
        <f>THG!M16/THG!M$6</f>
        <v>2.2306646494323026E-2</v>
      </c>
      <c r="N16" s="32">
        <f>THG!N16/THG!N$6</f>
        <v>1.9914496972375274E-2</v>
      </c>
      <c r="O16" s="32">
        <f>THG!O16/THG!O$6</f>
        <v>1.9435048687016791E-2</v>
      </c>
      <c r="P16" s="32">
        <f>THG!P16/THG!P$6</f>
        <v>2.0260044197272013E-2</v>
      </c>
      <c r="Q16" s="32">
        <f>THG!Q16/THG!Q$6</f>
        <v>2.1180230221314818E-2</v>
      </c>
      <c r="R16" s="32">
        <f>THG!R16/THG!R$6</f>
        <v>2.0350452572239726E-2</v>
      </c>
      <c r="S16" s="32">
        <f>THG!S16/THG!S$6</f>
        <v>2.0558692479299739E-2</v>
      </c>
      <c r="T16" s="32">
        <f>THG!T16/THG!T$6</f>
        <v>2.2743504468234862E-2</v>
      </c>
      <c r="U16" s="32">
        <f>THG!U16/THG!U$6</f>
        <v>2.1644734877300984E-2</v>
      </c>
      <c r="V16" s="32">
        <f>THG!V16/THG!V$6</f>
        <v>2.0528324776973361E-2</v>
      </c>
      <c r="W16" s="32">
        <f>THG!W16/THG!W$6</f>
        <v>2.0334512241469985E-2</v>
      </c>
      <c r="X16" s="32">
        <f>THG!X16/THG!X$6</f>
        <v>2.2232977937685642E-2</v>
      </c>
      <c r="Y16" s="32">
        <f>THG!Y16/THG!Y$6</f>
        <v>2.1446988193612026E-2</v>
      </c>
      <c r="Z16" s="32">
        <f>THG!Z16/THG!Z$6</f>
        <v>2.0364255449533512E-2</v>
      </c>
      <c r="AA16" s="32">
        <f>THG!AA16/THG!AA$6</f>
        <v>2.1936310038620933E-2</v>
      </c>
      <c r="AB16" s="32">
        <f>THG!AB16/THG!AB$6</f>
        <v>2.1390153021915062E-2</v>
      </c>
      <c r="AC16" s="32">
        <f>THG!AC16/THG!AC$6</f>
        <v>2.1387782458775727E-2</v>
      </c>
      <c r="AD16" s="32">
        <f>THG!AD16/THG!AD$6</f>
        <v>2.2491264444800381E-2</v>
      </c>
      <c r="AE16" s="32">
        <f>THG!AE16/THG!AE$6</f>
        <v>2.3299220263325836E-2</v>
      </c>
      <c r="AF16" s="32">
        <f>THG!AF16/THG!AF$6</f>
        <v>2.4522843940402696E-2</v>
      </c>
      <c r="AG16" s="91">
        <f>THG!AG16/THG!AG$6</f>
        <v>2.6268704133611046E-2</v>
      </c>
      <c r="AH16" s="91">
        <f>THG!AH16/THG!AH$6</f>
        <v>2.6213407694317667E-2</v>
      </c>
      <c r="AI16" s="91">
        <f>THG!AI16/THG!AI$6</f>
        <v>2.49942257294163E-2</v>
      </c>
      <c r="AJ16" s="91">
        <f>THG!AJ16/THG!AJ$6</f>
        <v>2.3842762643637133E-2</v>
      </c>
      <c r="AK16" s="91">
        <f>THG!AK16/THG!AK$6</f>
        <v>2.3207909336118202E-2</v>
      </c>
      <c r="AL16" s="91">
        <f>THG!AL16/THG!AL$6</f>
        <v>2.2837760470597129E-2</v>
      </c>
    </row>
    <row r="17" spans="2:38" ht="18.75" customHeight="1">
      <c r="B17" s="18" t="s">
        <v>12</v>
      </c>
      <c r="C17" s="33">
        <f>THG!C17/THG!C$6</f>
        <v>2.577357183202483E-2</v>
      </c>
      <c r="D17" s="33">
        <f>THG!D17/THG!D$6</f>
        <v>2.6173883718260765E-2</v>
      </c>
      <c r="E17" s="33">
        <f>THG!E17/THG!E$6</f>
        <v>2.9227218325051443E-2</v>
      </c>
      <c r="F17" s="33">
        <f>THG!F17/THG!F$6</f>
        <v>2.7582559698805811E-2</v>
      </c>
      <c r="G17" s="33">
        <f>THG!G17/THG!G$6</f>
        <v>3.0254033175459553E-2</v>
      </c>
      <c r="H17" s="33">
        <f>THG!H17/THG!H$6</f>
        <v>3.035131027188729E-2</v>
      </c>
      <c r="I17" s="33">
        <f>THG!I17/THG!I$6</f>
        <v>2.9810390193462745E-2</v>
      </c>
      <c r="J17" s="33">
        <f>THG!J17/THG!J$6</f>
        <v>2.8688437360733135E-2</v>
      </c>
      <c r="K17" s="33">
        <f>THG!K17/THG!K$6</f>
        <v>1.8918210446701795E-2</v>
      </c>
      <c r="L17" s="33">
        <f>THG!L17/THG!L$6</f>
        <v>1.5720496278691456E-2</v>
      </c>
      <c r="M17" s="33">
        <f>THG!M17/THG!M$6</f>
        <v>1.4592526032091727E-2</v>
      </c>
      <c r="N17" s="33">
        <f>THG!N17/THG!N$6</f>
        <v>1.5358688043329819E-2</v>
      </c>
      <c r="O17" s="33">
        <f>THG!O17/THG!O$6</f>
        <v>1.6807459475544517E-2</v>
      </c>
      <c r="P17" s="33">
        <f>THG!P17/THG!P$6</f>
        <v>1.6496168585311805E-2</v>
      </c>
      <c r="Q17" s="33">
        <f>THG!Q17/THG!Q$6</f>
        <v>1.7602219272294124E-2</v>
      </c>
      <c r="R17" s="33">
        <f>THG!R17/THG!R$6</f>
        <v>1.7525729617986978E-2</v>
      </c>
      <c r="S17" s="33">
        <f>THG!S17/THG!S$6</f>
        <v>1.6347839552652739E-2</v>
      </c>
      <c r="T17" s="33">
        <f>THG!T17/THG!T$6</f>
        <v>1.9465420054147656E-2</v>
      </c>
      <c r="U17" s="33">
        <f>THG!U17/THG!U$6</f>
        <v>1.8060885515142375E-2</v>
      </c>
      <c r="V17" s="33">
        <f>THG!V17/THG!V$6</f>
        <v>1.8988023951754807E-2</v>
      </c>
      <c r="W17" s="33">
        <f>THG!W17/THG!W$6</f>
        <v>1.1059980990340076E-2</v>
      </c>
      <c r="X17" s="33">
        <f>THG!X17/THG!X$6</f>
        <v>1.0677018214715216E-2</v>
      </c>
      <c r="Y17" s="33">
        <f>THG!Y17/THG!Y$6</f>
        <v>1.0411326787520757E-2</v>
      </c>
      <c r="Z17" s="33">
        <f>THG!Z17/THG!Z$6</f>
        <v>1.0218829194432446E-2</v>
      </c>
      <c r="AA17" s="33">
        <f>THG!AA17/THG!AA$6</f>
        <v>8.4102149019148736E-3</v>
      </c>
      <c r="AB17" s="33">
        <f>THG!AB17/THG!AB$6</f>
        <v>7.6455242443487946E-3</v>
      </c>
      <c r="AC17" s="33">
        <f>THG!AC17/THG!AC$6</f>
        <v>7.6750442215780526E-3</v>
      </c>
      <c r="AD17" s="33">
        <f>THG!AD17/THG!AD$6</f>
        <v>7.7549243240799424E-3</v>
      </c>
      <c r="AE17" s="33">
        <f>THG!AE17/THG!AE$6</f>
        <v>7.8833876907345151E-3</v>
      </c>
      <c r="AF17" s="33">
        <f>THG!AF17/THG!AF$6</f>
        <v>8.1225524868492622E-3</v>
      </c>
      <c r="AG17" s="33">
        <f>THG!AG17/THG!AG$6</f>
        <v>8.8930894122384134E-3</v>
      </c>
      <c r="AH17" s="33">
        <f>THG!AH17/THG!AH$6</f>
        <v>8.338995379991717E-3</v>
      </c>
      <c r="AI17" s="33">
        <f>THG!AI17/THG!AI$6</f>
        <v>6.882944298086122E-3</v>
      </c>
      <c r="AJ17" s="33">
        <f>THG!AJ17/THG!AJ$6</f>
        <v>7.0402082718908797E-3</v>
      </c>
      <c r="AK17" s="33">
        <f>THG!AK17/THG!AK$6</f>
        <v>7.7486975762359189E-3</v>
      </c>
      <c r="AL17" s="33">
        <f>THG!AL17/THG!AL$6</f>
        <v>7.7888496561352213E-3</v>
      </c>
    </row>
    <row r="18" spans="2:38" ht="18.75" customHeight="1">
      <c r="B18" s="17" t="s">
        <v>13</v>
      </c>
      <c r="C18" s="32">
        <f>THG!C18/THG!C$6</f>
        <v>2.2264879072388697E-2</v>
      </c>
      <c r="D18" s="32">
        <f>THG!D18/THG!D$6</f>
        <v>2.2305649562507062E-2</v>
      </c>
      <c r="E18" s="32">
        <f>THG!E18/THG!E$6</f>
        <v>2.0083219449739183E-2</v>
      </c>
      <c r="F18" s="32">
        <f>THG!F18/THG!F$6</f>
        <v>2.0518603552210132E-2</v>
      </c>
      <c r="G18" s="32">
        <f>THG!G18/THG!G$6</f>
        <v>2.1838646810124474E-2</v>
      </c>
      <c r="H18" s="32">
        <f>THG!H18/THG!H$6</f>
        <v>2.0146261850182614E-2</v>
      </c>
      <c r="I18" s="32">
        <f>THG!I18/THG!I$6</f>
        <v>1.9145548757631768E-2</v>
      </c>
      <c r="J18" s="32">
        <f>THG!J18/THG!J$6</f>
        <v>2.1226185727270773E-2</v>
      </c>
      <c r="K18" s="32">
        <f>THG!K18/THG!K$6</f>
        <v>2.0169188342989107E-2</v>
      </c>
      <c r="L18" s="32">
        <f>THG!L18/THG!L$6</f>
        <v>1.8552657500994996E-2</v>
      </c>
      <c r="M18" s="32">
        <f>THG!M18/THG!M$6</f>
        <v>2.3186533326475661E-2</v>
      </c>
      <c r="N18" s="32">
        <f>THG!N18/THG!N$6</f>
        <v>2.018530691159013E-2</v>
      </c>
      <c r="O18" s="32">
        <f>THG!O18/THG!O$6</f>
        <v>1.9091233921820831E-2</v>
      </c>
      <c r="P18" s="32">
        <f>THG!P18/THG!P$6</f>
        <v>2.1440148706485442E-2</v>
      </c>
      <c r="Q18" s="32">
        <f>THG!Q18/THG!Q$6</f>
        <v>2.1970070292527181E-2</v>
      </c>
      <c r="R18" s="32">
        <f>THG!R18/THG!R$6</f>
        <v>2.1022694543695E-2</v>
      </c>
      <c r="S18" s="32">
        <f>THG!S18/THG!S$6</f>
        <v>2.1067982140971775E-2</v>
      </c>
      <c r="T18" s="32">
        <f>THG!T18/THG!T$6</f>
        <v>2.0862428818328248E-2</v>
      </c>
      <c r="U18" s="32">
        <f>THG!U18/THG!U$6</f>
        <v>1.9188158421799689E-2</v>
      </c>
      <c r="V18" s="32">
        <f>THG!V18/THG!V$6</f>
        <v>1.4576462728214716E-2</v>
      </c>
      <c r="W18" s="32">
        <f>THG!W18/THG!W$6</f>
        <v>1.7853185906744881E-2</v>
      </c>
      <c r="X18" s="32">
        <f>THG!X18/THG!X$6</f>
        <v>1.8990987076700827E-2</v>
      </c>
      <c r="Y18" s="32">
        <f>THG!Y18/THG!Y$6</f>
        <v>1.6226768626892603E-2</v>
      </c>
      <c r="Z18" s="32">
        <f>THG!Z18/THG!Z$6</f>
        <v>1.6415627169601203E-2</v>
      </c>
      <c r="AA18" s="32">
        <f>THG!AA18/THG!AA$6</f>
        <v>1.9117670545918342E-2</v>
      </c>
      <c r="AB18" s="32">
        <f>THG!AB18/THG!AB$6</f>
        <v>1.8942181530010049E-2</v>
      </c>
      <c r="AC18" s="32">
        <f>THG!AC18/THG!AC$6</f>
        <v>2.067109600254589E-2</v>
      </c>
      <c r="AD18" s="32">
        <f>THG!AD18/THG!AD$6</f>
        <v>2.4622401241264791E-2</v>
      </c>
      <c r="AE18" s="32">
        <f>THG!AE18/THG!AE$6</f>
        <v>2.3611251822125503E-2</v>
      </c>
      <c r="AF18" s="32">
        <f>THG!AF18/THG!AF$6</f>
        <v>2.2786337704235552E-2</v>
      </c>
      <c r="AG18" s="91">
        <f>THG!AG18/THG!AG$6</f>
        <v>2.1848580049847879E-2</v>
      </c>
      <c r="AH18" s="91">
        <f>THG!AH18/THG!AH$6</f>
        <v>2.3210052276458195E-2</v>
      </c>
      <c r="AI18" s="91">
        <f>THG!AI18/THG!AI$6</f>
        <v>2.0895546259658605E-2</v>
      </c>
      <c r="AJ18" s="91">
        <f>THG!AJ18/THG!AJ$6</f>
        <v>2.2983933214649709E-2</v>
      </c>
      <c r="AK18" s="91">
        <f>THG!AK18/THG!AK$6</f>
        <v>2.6266565151436005E-2</v>
      </c>
      <c r="AL18" s="91">
        <f>THG!AL18/THG!AL$6</f>
        <v>2.4035863060795436E-2</v>
      </c>
    </row>
    <row r="19" spans="2:38" ht="18.75" customHeight="1">
      <c r="B19" s="18" t="s">
        <v>77</v>
      </c>
      <c r="C19" s="33">
        <f>THG!C19/THG!C$6</f>
        <v>7.5774257163097047E-3</v>
      </c>
      <c r="D19" s="33">
        <f>THG!D19/THG!D$6</f>
        <v>8.05182099448137E-3</v>
      </c>
      <c r="E19" s="33">
        <f>THG!E19/THG!E$6</f>
        <v>8.889249606571302E-3</v>
      </c>
      <c r="F19" s="33">
        <f>THG!F19/THG!F$6</f>
        <v>1.1334615225989083E-2</v>
      </c>
      <c r="G19" s="33">
        <f>THG!G19/THG!G$6</f>
        <v>1.1739906542790935E-2</v>
      </c>
      <c r="H19" s="33">
        <f>THG!H19/THG!H$6</f>
        <v>1.2042030310669529E-2</v>
      </c>
      <c r="I19" s="33">
        <f>THG!I19/THG!I$6</f>
        <v>1.2245651007590874E-2</v>
      </c>
      <c r="J19" s="33">
        <f>THG!J19/THG!J$6</f>
        <v>1.3307877998455344E-2</v>
      </c>
      <c r="K19" s="33">
        <f>THG!K19/THG!K$6</f>
        <v>1.405524430832285E-2</v>
      </c>
      <c r="L19" s="33">
        <f>THG!L19/THG!L$6</f>
        <v>1.3264875046456537E-2</v>
      </c>
      <c r="M19" s="33">
        <f>THG!M19/THG!M$6</f>
        <v>1.3348798302003168E-2</v>
      </c>
      <c r="N19" s="33">
        <f>THG!N19/THG!N$6</f>
        <v>1.3662494545379213E-2</v>
      </c>
      <c r="O19" s="33">
        <f>THG!O19/THG!O$6</f>
        <v>1.3658579414758006E-2</v>
      </c>
      <c r="P19" s="33">
        <f>THG!P19/THG!P$6</f>
        <v>1.3751450227720698E-2</v>
      </c>
      <c r="Q19" s="33">
        <f>THG!Q19/THG!Q$6</f>
        <v>1.4356902312400822E-2</v>
      </c>
      <c r="R19" s="33">
        <f>THG!R19/THG!R$6</f>
        <v>1.4666644911033512E-2</v>
      </c>
      <c r="S19" s="33">
        <f>THG!S19/THG!S$6</f>
        <v>1.4937927293667394E-2</v>
      </c>
      <c r="T19" s="33">
        <f>THG!T19/THG!T$6</f>
        <v>1.6041016138107524E-2</v>
      </c>
      <c r="U19" s="33">
        <f>THG!U19/THG!U$6</f>
        <v>1.5785156607287073E-2</v>
      </c>
      <c r="V19" s="33">
        <f>THG!V19/THG!V$6</f>
        <v>1.7012154552478939E-2</v>
      </c>
      <c r="W19" s="33">
        <f>THG!W19/THG!W$6</f>
        <v>1.7026442529844497E-2</v>
      </c>
      <c r="X19" s="33">
        <f>THG!X19/THG!X$6</f>
        <v>1.7818344535916724E-2</v>
      </c>
      <c r="Y19" s="33">
        <f>THG!Y19/THG!Y$6</f>
        <v>1.7884616712363167E-2</v>
      </c>
      <c r="Z19" s="33">
        <f>THG!Z19/THG!Z$6</f>
        <v>1.7487948146376928E-2</v>
      </c>
      <c r="AA19" s="33">
        <f>THG!AA19/THG!AA$6</f>
        <v>1.8339923677600227E-2</v>
      </c>
      <c r="AB19" s="33">
        <f>THG!AB19/THG!AB$6</f>
        <v>1.865824271794618E-2</v>
      </c>
      <c r="AC19" s="33">
        <f>THG!AC19/THG!AC$6</f>
        <v>1.8619434984754032E-2</v>
      </c>
      <c r="AD19" s="33">
        <f>THG!AD19/THG!AD$6</f>
        <v>1.8788320246972048E-2</v>
      </c>
      <c r="AE19" s="33">
        <f>THG!AE19/THG!AE$6</f>
        <v>1.8412133592684912E-2</v>
      </c>
      <c r="AF19" s="33">
        <f>THG!AF19/THG!AF$6</f>
        <v>1.8580498376813963E-2</v>
      </c>
      <c r="AG19" s="33">
        <f>THG!AG19/THG!AG$6</f>
        <v>1.8140480724614588E-2</v>
      </c>
      <c r="AH19" s="33">
        <f>THG!AH19/THG!AH$6</f>
        <v>1.6738319512546309E-2</v>
      </c>
      <c r="AI19" s="33">
        <f>THG!AI19/THG!AI$6</f>
        <v>1.588844570242675E-2</v>
      </c>
      <c r="AJ19" s="33">
        <f>THG!AJ19/THG!AJ$6</f>
        <v>1.6360084732701698E-2</v>
      </c>
      <c r="AK19" s="33">
        <f>THG!AK19/THG!AK$6</f>
        <v>1.6478887432166058E-2</v>
      </c>
      <c r="AL19" s="33">
        <f>THG!AL19/THG!AL$6</f>
        <v>1.6130162989889483E-2</v>
      </c>
    </row>
    <row r="20" spans="2:38" s="149" customFormat="1" ht="18.75" customHeight="1">
      <c r="B20" s="8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</row>
    <row r="21" spans="2:38" s="10" customFormat="1" ht="18.75" customHeight="1">
      <c r="B21" s="151" t="s">
        <v>10</v>
      </c>
      <c r="C21" s="31">
        <f>THG!C21/THG!C$6</f>
        <v>0.1676023500064602</v>
      </c>
      <c r="D21" s="31">
        <f>THG!D21/THG!D$6</f>
        <v>0.17277313527353838</v>
      </c>
      <c r="E21" s="31">
        <f>THG!E21/THG!E$6</f>
        <v>0.16431885610446775</v>
      </c>
      <c r="F21" s="31">
        <f>THG!F21/THG!F$6</f>
        <v>0.17153589439636702</v>
      </c>
      <c r="G21" s="31">
        <f>THG!G21/THG!G$6</f>
        <v>0.16468187360594752</v>
      </c>
      <c r="H21" s="31">
        <f>THG!H21/THG!H$6</f>
        <v>0.16709129196024697</v>
      </c>
      <c r="I21" s="31">
        <f>THG!I21/THG!I$6</f>
        <v>0.18495406901863559</v>
      </c>
      <c r="J21" s="31">
        <f>THG!J21/THG!J$6</f>
        <v>0.17890780660045458</v>
      </c>
      <c r="K21" s="31">
        <f>THG!K21/THG!K$6</f>
        <v>0.17547567527869573</v>
      </c>
      <c r="L21" s="31">
        <f>THG!L21/THG!L$6</f>
        <v>0.16530376143188591</v>
      </c>
      <c r="M21" s="31">
        <f>THG!M21/THG!M$6</f>
        <v>0.15991324772834695</v>
      </c>
      <c r="N21" s="31">
        <f>THG!N21/THG!N$6</f>
        <v>0.17697695947205117</v>
      </c>
      <c r="O21" s="31">
        <f>THG!O21/THG!O$6</f>
        <v>0.16792481980986837</v>
      </c>
      <c r="P21" s="31">
        <f>THG!P21/THG!P$6</f>
        <v>0.15939878611934755</v>
      </c>
      <c r="Q21" s="31">
        <f>THG!Q21/THG!Q$6</f>
        <v>0.15086250231849616</v>
      </c>
      <c r="R21" s="31">
        <f>THG!R21/THG!R$6</f>
        <v>0.15297650701001339</v>
      </c>
      <c r="S21" s="31">
        <f>THG!S21/THG!S$6</f>
        <v>0.16037479204486904</v>
      </c>
      <c r="T21" s="31">
        <f>THG!T21/THG!T$6</f>
        <v>0.12691369232769723</v>
      </c>
      <c r="U21" s="31">
        <f>THG!U21/THG!U$6</f>
        <v>0.15269926732848588</v>
      </c>
      <c r="V21" s="31">
        <f>THG!V21/THG!V$6</f>
        <v>0.1520791867808175</v>
      </c>
      <c r="W21" s="31">
        <f>THG!W21/THG!W$6</f>
        <v>0.15540785617552746</v>
      </c>
      <c r="X21" s="31">
        <f>THG!X21/THG!X$6</f>
        <v>0.13756756223171315</v>
      </c>
      <c r="Y21" s="31">
        <f>THG!Y21/THG!Y$6</f>
        <v>0.14132864666127926</v>
      </c>
      <c r="Z21" s="31">
        <f>THG!Z21/THG!Z$6</f>
        <v>0.149732383511156</v>
      </c>
      <c r="AA21" s="31">
        <f>THG!AA21/THG!AA$6</f>
        <v>0.13252036990860841</v>
      </c>
      <c r="AB21" s="31">
        <f>THG!AB21/THG!AB$6</f>
        <v>0.13886354887072105</v>
      </c>
      <c r="AC21" s="31">
        <f>THG!AC21/THG!AC$6</f>
        <v>0.13810633485120585</v>
      </c>
      <c r="AD21" s="31">
        <f>THG!AD21/THG!AD$6</f>
        <v>0.13876245196149337</v>
      </c>
      <c r="AE21" s="31">
        <f>THG!AE21/THG!AE$6</f>
        <v>0.13843198985473776</v>
      </c>
      <c r="AF21" s="31">
        <f>THG!AF21/THG!AF$6</f>
        <v>0.15473935731386962</v>
      </c>
      <c r="AG21" s="31">
        <f>THG!AG21/THG!AG$6</f>
        <v>0.1663016962686415</v>
      </c>
      <c r="AH21" s="31">
        <f>THG!AH21/THG!AH$6</f>
        <v>0.15464397914807188</v>
      </c>
      <c r="AI21" s="31">
        <f>THG!AI21/THG!AI$6</f>
        <v>0.14856212159265822</v>
      </c>
      <c r="AJ21" s="31">
        <f>THG!AJ21/THG!AJ$6</f>
        <v>0.15287058993162508</v>
      </c>
      <c r="AK21" s="31">
        <f>THG!AK21/THG!AK$6</f>
        <v>0.15389769035431269</v>
      </c>
      <c r="AL21" s="31">
        <f>THG!AL21/THG!AL$6</f>
        <v>0.15930217521701323</v>
      </c>
    </row>
    <row r="22" spans="2:38" s="149" customFormat="1" ht="18.75" customHeight="1">
      <c r="B22" s="89" t="s">
        <v>69</v>
      </c>
      <c r="C22" s="91">
        <f>THG!C22/THG!C$6</f>
        <v>5.2503127954778447E-2</v>
      </c>
      <c r="D22" s="91">
        <f>THG!D22/THG!D$6</f>
        <v>5.4622293195255987E-2</v>
      </c>
      <c r="E22" s="91">
        <f>THG!E22/THG!E$6</f>
        <v>5.047929091312775E-2</v>
      </c>
      <c r="F22" s="91">
        <f>THG!F22/THG!F$6</f>
        <v>4.8811414288207379E-2</v>
      </c>
      <c r="G22" s="91">
        <f>THG!G22/THG!G$6</f>
        <v>4.5457870185606826E-2</v>
      </c>
      <c r="H22" s="91">
        <f>THG!H22/THG!H$6</f>
        <v>4.7471245654175744E-2</v>
      </c>
      <c r="I22" s="91">
        <f>THG!I22/THG!I$6</f>
        <v>5.6161755624388028E-2</v>
      </c>
      <c r="J22" s="91">
        <f>THG!J22/THG!J$6</f>
        <v>4.9768611192494989E-2</v>
      </c>
      <c r="K22" s="91">
        <f>THG!K22/THG!K$6</f>
        <v>4.935541043150668E-2</v>
      </c>
      <c r="L22" s="91">
        <f>THG!L22/THG!L$6</f>
        <v>4.707031524098812E-2</v>
      </c>
      <c r="M22" s="91">
        <f>THG!M22/THG!M$6</f>
        <v>4.3619692189518361E-2</v>
      </c>
      <c r="N22" s="91">
        <f>THG!N22/THG!N$6</f>
        <v>4.987339954860559E-2</v>
      </c>
      <c r="O22" s="91">
        <f>THG!O22/THG!O$6</f>
        <v>4.8028553520467199E-2</v>
      </c>
      <c r="P22" s="91">
        <f>THG!P22/THG!P$6</f>
        <v>3.9094221700317129E-2</v>
      </c>
      <c r="Q22" s="91">
        <f>THG!Q22/THG!Q$6</f>
        <v>3.6107714988964916E-2</v>
      </c>
      <c r="R22" s="91">
        <f>THG!R22/THG!R$6</f>
        <v>3.8072855639382071E-2</v>
      </c>
      <c r="S22" s="91">
        <f>THG!S22/THG!S$6</f>
        <v>4.5236437893606762E-2</v>
      </c>
      <c r="T22" s="91">
        <f>THG!T22/THG!T$6</f>
        <v>3.4884820418748484E-2</v>
      </c>
      <c r="U22" s="91">
        <f>THG!U22/THG!U$6</f>
        <v>3.9920716113964638E-2</v>
      </c>
      <c r="V22" s="91">
        <f>THG!V22/THG!V$6</f>
        <v>3.9847706207454328E-2</v>
      </c>
      <c r="W22" s="91">
        <f>THG!W22/THG!W$6</f>
        <v>3.9796158451227408E-2</v>
      </c>
      <c r="X22" s="91">
        <f>THG!X22/THG!X$6</f>
        <v>3.8044119993724583E-2</v>
      </c>
      <c r="Y22" s="91">
        <f>THG!Y22/THG!Y$6</f>
        <v>3.6308727666359425E-2</v>
      </c>
      <c r="Z22" s="91">
        <f>THG!Z22/THG!Z$6</f>
        <v>4.0517292397113061E-2</v>
      </c>
      <c r="AA22" s="91">
        <f>THG!AA22/THG!AA$6</f>
        <v>3.7223710847084174E-2</v>
      </c>
      <c r="AB22" s="91">
        <f>THG!AB22/THG!AB$6</f>
        <v>3.8935969001242896E-2</v>
      </c>
      <c r="AC22" s="91">
        <f>THG!AC22/THG!AC$6</f>
        <v>3.4954047552528941E-2</v>
      </c>
      <c r="AD22" s="91">
        <f>THG!AD22/THG!AD$6</f>
        <v>3.62472257228834E-2</v>
      </c>
      <c r="AE22" s="91">
        <f>THG!AE22/THG!AE$6</f>
        <v>3.1982711398424658E-2</v>
      </c>
      <c r="AF22" s="91">
        <f>THG!AF22/THG!AF$6</f>
        <v>3.2653418022687029E-2</v>
      </c>
      <c r="AG22" s="91">
        <f>THG!AG22/THG!AG$6</f>
        <v>3.4153299964201897E-2</v>
      </c>
      <c r="AH22" s="91">
        <f>THG!AH22/THG!AH$6</f>
        <v>3.2653305436357229E-2</v>
      </c>
      <c r="AI22" s="91">
        <f>THG!AI22/THG!AI$6</f>
        <v>3.362305885639022E-2</v>
      </c>
      <c r="AJ22" s="91">
        <f>THG!AJ22/THG!AJ$6</f>
        <v>3.3045349483207968E-2</v>
      </c>
      <c r="AK22" s="91">
        <f>THG!AK22/THG!AK$6</f>
        <v>3.30793711530726E-2</v>
      </c>
      <c r="AL22" s="91">
        <f>THG!AL22/THG!AL$6</f>
        <v>3.558605818883618E-2</v>
      </c>
    </row>
    <row r="23" spans="2:38" s="149" customFormat="1" ht="18.75" customHeight="1">
      <c r="B23" s="18" t="s">
        <v>17</v>
      </c>
      <c r="C23" s="33">
        <f>THG!C23/THG!C$6</f>
        <v>0.10541806200974509</v>
      </c>
      <c r="D23" s="33">
        <f>THG!D23/THG!D$6</f>
        <v>0.11097935080990073</v>
      </c>
      <c r="E23" s="33">
        <f>THG!E23/THG!E$6</f>
        <v>0.10817019928881179</v>
      </c>
      <c r="F23" s="33">
        <f>THG!F23/THG!F$6</f>
        <v>0.11815152978201278</v>
      </c>
      <c r="G23" s="33">
        <f>THG!G23/THG!G$6</f>
        <v>0.1149516690849289</v>
      </c>
      <c r="H23" s="33">
        <f>THG!H23/THG!H$6</f>
        <v>0.1160393174176305</v>
      </c>
      <c r="I23" s="33">
        <f>THG!I23/THG!I$6</f>
        <v>0.12603291086239621</v>
      </c>
      <c r="J23" s="33">
        <f>THG!J23/THG!J$6</f>
        <v>0.12638882764010703</v>
      </c>
      <c r="K23" s="33">
        <f>THG!K23/THG!K$6</f>
        <v>0.12329737085443637</v>
      </c>
      <c r="L23" s="33">
        <f>THG!L23/THG!L$6</f>
        <v>0.11574459608191782</v>
      </c>
      <c r="M23" s="33">
        <f>THG!M23/THG!M$6</f>
        <v>0.11405811690316157</v>
      </c>
      <c r="N23" s="33">
        <f>THG!N23/THG!N$6</f>
        <v>0.12529621933935312</v>
      </c>
      <c r="O23" s="33">
        <f>THG!O23/THG!O$6</f>
        <v>0.11801811059163012</v>
      </c>
      <c r="P23" s="33">
        <f>THG!P23/THG!P$6</f>
        <v>0.11834005357707111</v>
      </c>
      <c r="Q23" s="33">
        <f>THG!Q23/THG!Q$6</f>
        <v>0.1130358646334383</v>
      </c>
      <c r="R23" s="33">
        <f>THG!R23/THG!R$6</f>
        <v>0.11311398063058223</v>
      </c>
      <c r="S23" s="33">
        <f>THG!S23/THG!S$6</f>
        <v>0.1135305658712938</v>
      </c>
      <c r="T23" s="33">
        <f>THG!T23/THG!T$6</f>
        <v>9.0642307092230076E-2</v>
      </c>
      <c r="U23" s="33">
        <f>THG!U23/THG!U$6</f>
        <v>0.11136938827484694</v>
      </c>
      <c r="V23" s="33">
        <f>THG!V23/THG!V$6</f>
        <v>0.11069419120230657</v>
      </c>
      <c r="W23" s="33">
        <f>THG!W23/THG!W$6</f>
        <v>0.11417235835169394</v>
      </c>
      <c r="X23" s="33">
        <f>THG!X23/THG!X$6</f>
        <v>9.8154729194638357E-2</v>
      </c>
      <c r="Y23" s="33">
        <f>THG!Y23/THG!Y$6</f>
        <v>0.10389560174829175</v>
      </c>
      <c r="Z23" s="33">
        <f>THG!Z23/THG!Z$6</f>
        <v>0.10807227234688467</v>
      </c>
      <c r="AA23" s="33">
        <f>THG!AA23/THG!AA$6</f>
        <v>9.4176111692639231E-2</v>
      </c>
      <c r="AB23" s="33">
        <f>THG!AB23/THG!AB$6</f>
        <v>9.8813501996616621E-2</v>
      </c>
      <c r="AC23" s="33">
        <f>THG!AC23/THG!AC$6</f>
        <v>0.10199803305097037</v>
      </c>
      <c r="AD23" s="33">
        <f>THG!AD23/THG!AD$6</f>
        <v>0.101548923194729</v>
      </c>
      <c r="AE23" s="33">
        <f>THG!AE23/THG!AE$6</f>
        <v>0.10555052526464803</v>
      </c>
      <c r="AF23" s="33">
        <f>THG!AF23/THG!AF$6</f>
        <v>0.12093082151703062</v>
      </c>
      <c r="AG23" s="33">
        <f>THG!AG23/THG!AG$6</f>
        <v>0.13106455152959895</v>
      </c>
      <c r="AH23" s="33">
        <f>THG!AH23/THG!AH$6</f>
        <v>0.12069777701386741</v>
      </c>
      <c r="AI23" s="33">
        <f>THG!AI23/THG!AI$6</f>
        <v>0.11378512991129802</v>
      </c>
      <c r="AJ23" s="33">
        <f>THG!AJ23/THG!AJ$6</f>
        <v>0.11853761961843941</v>
      </c>
      <c r="AK23" s="33">
        <f>THG!AK23/THG!AK$6</f>
        <v>0.11989479298430805</v>
      </c>
      <c r="AL23" s="33">
        <f>THG!AL23/THG!AL$6</f>
        <v>0.12268617381534397</v>
      </c>
    </row>
    <row r="24" spans="2:38" s="149" customFormat="1" ht="18.75" customHeight="1">
      <c r="B24" s="89" t="s">
        <v>70</v>
      </c>
      <c r="C24" s="91">
        <f>THG!C24/THG!C$6</f>
        <v>9.6811600419366862E-3</v>
      </c>
      <c r="D24" s="91">
        <f>THG!D24/THG!D$6</f>
        <v>7.1714912683816887E-3</v>
      </c>
      <c r="E24" s="91">
        <f>THG!E24/THG!E$6</f>
        <v>5.6693659025282101E-3</v>
      </c>
      <c r="F24" s="91">
        <f>THG!F24/THG!F$6</f>
        <v>4.5729503261468709E-3</v>
      </c>
      <c r="G24" s="91">
        <f>THG!G24/THG!G$6</f>
        <v>4.2723343354117808E-3</v>
      </c>
      <c r="H24" s="91">
        <f>THG!H24/THG!H$6</f>
        <v>3.580728888440719E-3</v>
      </c>
      <c r="I24" s="91">
        <f>THG!I24/THG!I$6</f>
        <v>2.759402531851357E-3</v>
      </c>
      <c r="J24" s="91">
        <f>THG!J24/THG!J$6</f>
        <v>2.750367767852585E-3</v>
      </c>
      <c r="K24" s="91">
        <f>THG!K24/THG!K$6</f>
        <v>2.8228939927526756E-3</v>
      </c>
      <c r="L24" s="91">
        <f>THG!L24/THG!L$6</f>
        <v>2.4888501089799587E-3</v>
      </c>
      <c r="M24" s="91">
        <f>THG!M24/THG!M$6</f>
        <v>2.2354386356670266E-3</v>
      </c>
      <c r="N24" s="91">
        <f>THG!N24/THG!N$6</f>
        <v>1.8073405840924514E-3</v>
      </c>
      <c r="O24" s="91">
        <f>THG!O24/THG!O$6</f>
        <v>1.8781556977710613E-3</v>
      </c>
      <c r="P24" s="91">
        <f>THG!P24/THG!P$6</f>
        <v>1.9645108419592884E-3</v>
      </c>
      <c r="Q24" s="91">
        <f>THG!Q24/THG!Q$6</f>
        <v>1.718922696092936E-3</v>
      </c>
      <c r="R24" s="91">
        <f>THG!R24/THG!R$6</f>
        <v>1.7896707400491085E-3</v>
      </c>
      <c r="S24" s="91">
        <f>THG!S24/THG!S$6</f>
        <v>1.6077882799685006E-3</v>
      </c>
      <c r="T24" s="91">
        <f>THG!T24/THG!T$6</f>
        <v>1.3865648167186721E-3</v>
      </c>
      <c r="U24" s="91">
        <f>THG!U24/THG!U$6</f>
        <v>1.409162939674328E-3</v>
      </c>
      <c r="V24" s="91">
        <f>THG!V24/THG!V$6</f>
        <v>1.5372893710565848E-3</v>
      </c>
      <c r="W24" s="91">
        <f>THG!W24/THG!W$6</f>
        <v>1.4393393726061107E-3</v>
      </c>
      <c r="X24" s="91">
        <f>THG!X24/THG!X$6</f>
        <v>1.3687130433502155E-3</v>
      </c>
      <c r="Y24" s="91">
        <f>THG!Y24/THG!Y$6</f>
        <v>1.1243172466280549E-3</v>
      </c>
      <c r="Z24" s="91">
        <f>THG!Z24/THG!Z$6</f>
        <v>1.1428187671582877E-3</v>
      </c>
      <c r="AA24" s="91">
        <f>THG!AA24/THG!AA$6</f>
        <v>1.1205473688850037E-3</v>
      </c>
      <c r="AB24" s="91">
        <f>THG!AB24/THG!AB$6</f>
        <v>1.1140778728615617E-3</v>
      </c>
      <c r="AC24" s="91">
        <f>THG!AC24/THG!AC$6</f>
        <v>1.154254247706556E-3</v>
      </c>
      <c r="AD24" s="91">
        <f>THG!AD24/THG!AD$6</f>
        <v>9.6630304388098625E-4</v>
      </c>
      <c r="AE24" s="91">
        <f>THG!AE24/THG!AE$6</f>
        <v>8.9875319166508004E-4</v>
      </c>
      <c r="AF24" s="91">
        <f>THG!AF24/THG!AF$6</f>
        <v>1.15511777415197E-3</v>
      </c>
      <c r="AG24" s="91">
        <f>THG!AG24/THG!AG$6</f>
        <v>1.0838447748406702E-3</v>
      </c>
      <c r="AH24" s="91">
        <f>THG!AH24/THG!AH$6</f>
        <v>1.2928966978472225E-3</v>
      </c>
      <c r="AI24" s="91">
        <f>THG!AI24/THG!AI$6</f>
        <v>1.1539328249699822E-3</v>
      </c>
      <c r="AJ24" s="91">
        <f>THG!AJ24/THG!AJ$6</f>
        <v>1.2876208299777048E-3</v>
      </c>
      <c r="AK24" s="91">
        <f>THG!AK24/THG!AK$6</f>
        <v>9.2352621693204235E-4</v>
      </c>
      <c r="AL24" s="91">
        <f>THG!AL24/THG!AL$6</f>
        <v>1.0299432128331042E-3</v>
      </c>
    </row>
    <row r="25" spans="2:38" s="149" customFormat="1" ht="18.75" customHeight="1">
      <c r="B25" s="1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2:38" s="10" customFormat="1" ht="18.75" customHeight="1">
      <c r="B26" s="152" t="s">
        <v>14</v>
      </c>
      <c r="C26" s="30">
        <f>THG!C26/THG!C$6</f>
        <v>0.13035809336591561</v>
      </c>
      <c r="D26" s="30">
        <f>THG!D26/THG!D$6</f>
        <v>0.13785170555856116</v>
      </c>
      <c r="E26" s="30">
        <f>THG!E26/THG!E$6</f>
        <v>0.14867991834431937</v>
      </c>
      <c r="F26" s="30">
        <f>THG!F26/THG!F$6</f>
        <v>0.15367482747954317</v>
      </c>
      <c r="G26" s="30">
        <f>THG!G26/THG!G$6</f>
        <v>0.15251246194611265</v>
      </c>
      <c r="H26" s="30">
        <f>THG!H26/THG!H$6</f>
        <v>0.15677571921428834</v>
      </c>
      <c r="I26" s="30">
        <f>THG!I26/THG!I$6</f>
        <v>0.15410138140323035</v>
      </c>
      <c r="J26" s="30">
        <f>THG!J26/THG!J$6</f>
        <v>0.15941682677522467</v>
      </c>
      <c r="K26" s="30">
        <f>THG!K26/THG!K$6</f>
        <v>0.16611059273510836</v>
      </c>
      <c r="L26" s="30">
        <f>THG!L26/THG!L$6</f>
        <v>0.17649262423068726</v>
      </c>
      <c r="M26" s="30">
        <f>THG!M26/THG!M$6</f>
        <v>0.17314160439151036</v>
      </c>
      <c r="N26" s="30">
        <f>THG!N26/THG!N$6</f>
        <v>0.1671523245321774</v>
      </c>
      <c r="O26" s="30">
        <f>THG!O26/THG!O$6</f>
        <v>0.1680238973210689</v>
      </c>
      <c r="P26" s="30">
        <f>THG!P26/THG!P$6</f>
        <v>0.16247961033156422</v>
      </c>
      <c r="Q26" s="30">
        <f>THG!Q26/THG!Q$6</f>
        <v>0.16558287710911218</v>
      </c>
      <c r="R26" s="30">
        <f>THG!R26/THG!R$6</f>
        <v>0.16249649934929061</v>
      </c>
      <c r="S26" s="30">
        <f>THG!S26/THG!S$6</f>
        <v>0.16155849600656533</v>
      </c>
      <c r="T26" s="30">
        <f>THG!T26/THG!T$6</f>
        <v>0.15783176733153867</v>
      </c>
      <c r="U26" s="30">
        <f>THG!U26/THG!U$6</f>
        <v>0.15716475586372997</v>
      </c>
      <c r="V26" s="30">
        <f>THG!V26/THG!V$6</f>
        <v>0.1678226107775698</v>
      </c>
      <c r="W26" s="30">
        <f>THG!W26/THG!W$6</f>
        <v>0.16277595293097311</v>
      </c>
      <c r="X26" s="30">
        <f>THG!X26/THG!X$6</f>
        <v>0.16919169203282663</v>
      </c>
      <c r="Y26" s="30">
        <f>THG!Y26/THG!Y$6</f>
        <v>0.16586177381274753</v>
      </c>
      <c r="Z26" s="30">
        <f>THG!Z26/THG!Z$6</f>
        <v>0.16659343253838435</v>
      </c>
      <c r="AA26" s="30">
        <f>THG!AA26/THG!AA$6</f>
        <v>0.17608574823579487</v>
      </c>
      <c r="AB26" s="30">
        <f>THG!AB26/THG!AB$6</f>
        <v>0.17926711487861935</v>
      </c>
      <c r="AC26" s="30">
        <f>THG!AC26/THG!AC$6</f>
        <v>0.18229911337512081</v>
      </c>
      <c r="AD26" s="30">
        <f>THG!AD26/THG!AD$6</f>
        <v>0.18874330785636823</v>
      </c>
      <c r="AE26" s="30">
        <f>THG!AE26/THG!AE$6</f>
        <v>0.1913076675802817</v>
      </c>
      <c r="AF26" s="30">
        <f>THG!AF26/THG!AF$6</f>
        <v>0.20504061879062571</v>
      </c>
      <c r="AG26" s="30">
        <f>THG!AG26/THG!AG$6</f>
        <v>0.19959051271960371</v>
      </c>
      <c r="AH26" s="30">
        <f>THG!AH26/THG!AH$6</f>
        <v>0.19247187864644283</v>
      </c>
      <c r="AI26" s="30">
        <f>THG!AI26/THG!AI$6</f>
        <v>0.1976203426926699</v>
      </c>
      <c r="AJ26" s="30">
        <f>THG!AJ26/THG!AJ$6</f>
        <v>0.21577568243580897</v>
      </c>
      <c r="AK26" s="30">
        <f>THG!AK26/THG!AK$6</f>
        <v>0.22189764703551973</v>
      </c>
      <c r="AL26" s="30">
        <f>THG!AL26/THG!AL$6</f>
        <v>0.225478006654593</v>
      </c>
    </row>
    <row r="27" spans="2:38" s="149" customFormat="1" ht="18.75" customHeight="1">
      <c r="B27" s="18" t="s">
        <v>4</v>
      </c>
      <c r="C27" s="33">
        <f>THG!C27/THG!C$6</f>
        <v>1.8630546614920021E-3</v>
      </c>
      <c r="D27" s="33">
        <f>THG!D27/THG!D$6</f>
        <v>1.8659127157601334E-3</v>
      </c>
      <c r="E27" s="33">
        <f>THG!E27/THG!E$6</f>
        <v>1.9756069789190673E-3</v>
      </c>
      <c r="F27" s="33">
        <f>THG!F27/THG!F$6</f>
        <v>1.9160163982838005E-3</v>
      </c>
      <c r="G27" s="33">
        <f>THG!G27/THG!G$6</f>
        <v>1.9297158854056768E-3</v>
      </c>
      <c r="H27" s="33">
        <f>THG!H27/THG!H$6</f>
        <v>2.0381628089883807E-3</v>
      </c>
      <c r="I27" s="33">
        <f>THG!I27/THG!I$6</f>
        <v>1.9334588496223194E-3</v>
      </c>
      <c r="J27" s="33">
        <f>THG!J27/THG!J$6</f>
        <v>2.0963368744860177E-3</v>
      </c>
      <c r="K27" s="33">
        <f>THG!K27/THG!K$6</f>
        <v>2.1548738292941679E-3</v>
      </c>
      <c r="L27" s="33">
        <f>THG!L27/THG!L$6</f>
        <v>2.2663603120254175E-3</v>
      </c>
      <c r="M27" s="33">
        <f>THG!M27/THG!M$6</f>
        <v>2.3896808353292974E-3</v>
      </c>
      <c r="N27" s="33">
        <f>THG!N27/THG!N$6</f>
        <v>2.278546717735923E-3</v>
      </c>
      <c r="O27" s="33">
        <f>THG!O27/THG!O$6</f>
        <v>2.216304214061451E-3</v>
      </c>
      <c r="P27" s="33">
        <f>THG!P27/THG!P$6</f>
        <v>2.2168203461193484E-3</v>
      </c>
      <c r="Q27" s="33">
        <f>THG!Q27/THG!Q$6</f>
        <v>2.2322292416459776E-3</v>
      </c>
      <c r="R27" s="33">
        <f>THG!R27/THG!R$6</f>
        <v>2.3078389041878335E-3</v>
      </c>
      <c r="S27" s="33">
        <f>THG!S27/THG!S$6</f>
        <v>2.3314550901190035E-3</v>
      </c>
      <c r="T27" s="33">
        <f>THG!T27/THG!T$6</f>
        <v>2.496907701192297E-3</v>
      </c>
      <c r="U27" s="33">
        <f>THG!U27/THG!U$6</f>
        <v>2.5185934004431439E-3</v>
      </c>
      <c r="V27" s="33">
        <f>THG!V27/THG!V$6</f>
        <v>2.5326336039744792E-3</v>
      </c>
      <c r="W27" s="33">
        <f>THG!W27/THG!W$6</f>
        <v>2.4328537232275989E-3</v>
      </c>
      <c r="X27" s="33">
        <f>THG!X27/THG!X$6</f>
        <v>2.5264259700331312E-3</v>
      </c>
      <c r="Y27" s="33">
        <f>THG!Y27/THG!Y$6</f>
        <v>2.3771223005108482E-3</v>
      </c>
      <c r="Z27" s="33">
        <f>THG!Z27/THG!Z$6</f>
        <v>2.1031788127462798E-3</v>
      </c>
      <c r="AA27" s="33">
        <f>THG!AA27/THG!AA$6</f>
        <v>2.224788623639585E-3</v>
      </c>
      <c r="AB27" s="33">
        <f>THG!AB27/THG!AB$6</f>
        <v>2.3126729882773545E-3</v>
      </c>
      <c r="AC27" s="33">
        <f>THG!AC27/THG!AC$6</f>
        <v>2.3194471078678836E-3</v>
      </c>
      <c r="AD27" s="33">
        <f>THG!AD27/THG!AD$6</f>
        <v>2.2817586016161706E-3</v>
      </c>
      <c r="AE27" s="33">
        <f>THG!AE27/THG!AE$6</f>
        <v>2.3696064972840145E-3</v>
      </c>
      <c r="AF27" s="33">
        <f>THG!AF27/THG!AF$6</f>
        <v>2.6012702026683679E-3</v>
      </c>
      <c r="AG27" s="33">
        <f>THG!AG27/THG!AG$6</f>
        <v>1.2724093053411993E-3</v>
      </c>
      <c r="AH27" s="33">
        <f>THG!AH27/THG!AH$6</f>
        <v>9.4126759750157532E-4</v>
      </c>
      <c r="AI27" s="33">
        <f>THG!AI27/THG!AI$6</f>
        <v>1.3913997528562714E-3</v>
      </c>
      <c r="AJ27" s="33">
        <f>THG!AJ27/THG!AJ$6</f>
        <v>1.6335881564262854E-3</v>
      </c>
      <c r="AK27" s="33">
        <f>THG!AK27/THG!AK$6</f>
        <v>1.6906574623742725E-3</v>
      </c>
      <c r="AL27" s="33">
        <f>THG!AL27/THG!AL$6</f>
        <v>1.7026171343308401E-3</v>
      </c>
    </row>
    <row r="28" spans="2:38" s="149" customFormat="1" ht="18.75" customHeight="1">
      <c r="B28" s="89" t="s">
        <v>5</v>
      </c>
      <c r="C28" s="91">
        <f>THG!C28/THG!C$6</f>
        <v>0.12355163455481731</v>
      </c>
      <c r="D28" s="91">
        <f>THG!D28/THG!D$6</f>
        <v>0.13123121165988796</v>
      </c>
      <c r="E28" s="91">
        <f>THG!E28/THG!E$6</f>
        <v>0.14174305211260327</v>
      </c>
      <c r="F28" s="91">
        <f>THG!F28/THG!F$6</f>
        <v>0.14678068411935385</v>
      </c>
      <c r="G28" s="91">
        <f>THG!G28/THG!G$6</f>
        <v>0.14574528679446452</v>
      </c>
      <c r="H28" s="91">
        <f>THG!H28/THG!H$6</f>
        <v>0.15034719091026116</v>
      </c>
      <c r="I28" s="91">
        <f>THG!I28/THG!I$6</f>
        <v>0.14810754737174578</v>
      </c>
      <c r="J28" s="91">
        <f>THG!J28/THG!J$6</f>
        <v>0.15359303815092415</v>
      </c>
      <c r="K28" s="91">
        <f>THG!K28/THG!K$6</f>
        <v>0.16023664806105309</v>
      </c>
      <c r="L28" s="91">
        <f>THG!L28/THG!L$6</f>
        <v>0.17072049935893086</v>
      </c>
      <c r="M28" s="91">
        <f>THG!M28/THG!M$6</f>
        <v>0.16730496710196824</v>
      </c>
      <c r="N28" s="91">
        <f>THG!N28/THG!N$6</f>
        <v>0.16163925849494498</v>
      </c>
      <c r="O28" s="91">
        <f>THG!O28/THG!O$6</f>
        <v>0.16270725241470679</v>
      </c>
      <c r="P28" s="91">
        <f>THG!P28/THG!P$6</f>
        <v>0.15684736162690166</v>
      </c>
      <c r="Q28" s="91">
        <f>THG!Q28/THG!Q$6</f>
        <v>0.15984878726662516</v>
      </c>
      <c r="R28" s="91">
        <f>THG!R28/THG!R$6</f>
        <v>0.15659256415454129</v>
      </c>
      <c r="S28" s="91">
        <f>THG!S28/THG!S$6</f>
        <v>0.15580776797332593</v>
      </c>
      <c r="T28" s="91">
        <f>THG!T28/THG!T$6</f>
        <v>0.15202998878584809</v>
      </c>
      <c r="U28" s="91">
        <f>THG!U28/THG!U$6</f>
        <v>0.15114844748770259</v>
      </c>
      <c r="V28" s="91">
        <f>THG!V28/THG!V$6</f>
        <v>0.16207590228398236</v>
      </c>
      <c r="W28" s="91">
        <f>THG!W28/THG!W$6</f>
        <v>0.15705998920939054</v>
      </c>
      <c r="X28" s="91">
        <f>THG!X28/THG!X$6</f>
        <v>0.16342578210101194</v>
      </c>
      <c r="Y28" s="91">
        <f>THG!Y28/THG!Y$6</f>
        <v>0.16031660795561001</v>
      </c>
      <c r="Z28" s="91">
        <f>THG!Z28/THG!Z$6</f>
        <v>0.16137391345179289</v>
      </c>
      <c r="AA28" s="91">
        <f>THG!AA28/THG!AA$6</f>
        <v>0.17069252603484922</v>
      </c>
      <c r="AB28" s="91">
        <f>THG!AB28/THG!AB$6</f>
        <v>0.17373047033180594</v>
      </c>
      <c r="AC28" s="91">
        <f>THG!AC28/THG!AC$6</f>
        <v>0.17680408816531554</v>
      </c>
      <c r="AD28" s="91">
        <f>THG!AD28/THG!AD$6</f>
        <v>0.18344119841906539</v>
      </c>
      <c r="AE28" s="91">
        <f>THG!AE28/THG!AE$6</f>
        <v>0.18589361829289733</v>
      </c>
      <c r="AF28" s="91">
        <f>THG!AF28/THG!AF$6</f>
        <v>0.19906980201860552</v>
      </c>
      <c r="AG28" s="91">
        <f>THG!AG28/THG!AG$6</f>
        <v>0.19482896807850106</v>
      </c>
      <c r="AH28" s="91">
        <f>THG!AH28/THG!AH$6</f>
        <v>0.18833249596255475</v>
      </c>
      <c r="AI28" s="91">
        <f>THG!AI28/THG!AI$6</f>
        <v>0.1933825093281728</v>
      </c>
      <c r="AJ28" s="91">
        <f>THG!AJ28/THG!AJ$6</f>
        <v>0.21094440185515245</v>
      </c>
      <c r="AK28" s="91">
        <f>THG!AK28/THG!AK$6</f>
        <v>0.21685816286149975</v>
      </c>
      <c r="AL28" s="91">
        <f>THG!AL28/THG!AL$6</f>
        <v>0.22044972593439696</v>
      </c>
    </row>
    <row r="29" spans="2:38" s="149" customFormat="1" ht="18.75" customHeight="1">
      <c r="B29" s="18" t="s">
        <v>6</v>
      </c>
      <c r="C29" s="33">
        <f>THG!C29/THG!C$6</f>
        <v>2.5213866717223501E-3</v>
      </c>
      <c r="D29" s="33">
        <f>THG!D29/THG!D$6</f>
        <v>2.3361115343631684E-3</v>
      </c>
      <c r="E29" s="33">
        <f>THG!E29/THG!E$6</f>
        <v>2.3886521121209482E-3</v>
      </c>
      <c r="F29" s="33">
        <f>THG!F29/THG!F$6</f>
        <v>2.3976186957604703E-3</v>
      </c>
      <c r="G29" s="33">
        <f>THG!G29/THG!G$6</f>
        <v>2.2647252013827464E-3</v>
      </c>
      <c r="H29" s="33">
        <f>THG!H29/THG!H$6</f>
        <v>2.204802258012064E-3</v>
      </c>
      <c r="I29" s="33">
        <f>THG!I29/THG!I$6</f>
        <v>2.0647403307629086E-3</v>
      </c>
      <c r="J29" s="33">
        <f>THG!J29/THG!J$6</f>
        <v>1.9667754598995195E-3</v>
      </c>
      <c r="K29" s="33">
        <f>THG!K29/THG!K$6</f>
        <v>1.8990052381050487E-3</v>
      </c>
      <c r="L29" s="33">
        <f>THG!L29/THG!L$6</f>
        <v>1.8535284786799174E-3</v>
      </c>
      <c r="M29" s="33">
        <f>THG!M29/THG!M$6</f>
        <v>1.8733757452234928E-3</v>
      </c>
      <c r="N29" s="33">
        <f>THG!N29/THG!N$6</f>
        <v>1.6942026742786205E-3</v>
      </c>
      <c r="O29" s="33">
        <f>THG!O29/THG!O$6</f>
        <v>1.6001846863700443E-3</v>
      </c>
      <c r="P29" s="33">
        <f>THG!P29/THG!P$6</f>
        <v>1.5795104755551789E-3</v>
      </c>
      <c r="Q29" s="33">
        <f>THG!Q29/THG!Q$6</f>
        <v>1.5213193229975351E-3</v>
      </c>
      <c r="R29" s="33">
        <f>THG!R29/THG!R$6</f>
        <v>1.4456013961988354E-3</v>
      </c>
      <c r="S29" s="33">
        <f>THG!S29/THG!S$6</f>
        <v>1.2895482177898965E-3</v>
      </c>
      <c r="T29" s="33">
        <f>THG!T29/THG!T$6</f>
        <v>1.2965356156389117E-3</v>
      </c>
      <c r="U29" s="33">
        <f>THG!U29/THG!U$6</f>
        <v>1.2605841399951705E-3</v>
      </c>
      <c r="V29" s="33">
        <f>THG!V29/THG!V$6</f>
        <v>1.2204136122359627E-3</v>
      </c>
      <c r="W29" s="33">
        <f>THG!W29/THG!W$6</f>
        <v>1.200969946987569E-3</v>
      </c>
      <c r="X29" s="33">
        <f>THG!X29/THG!X$6</f>
        <v>1.2473546505846079E-3</v>
      </c>
      <c r="Y29" s="33">
        <f>THG!Y29/THG!Y$6</f>
        <v>1.1366032856517515E-3</v>
      </c>
      <c r="Z29" s="33">
        <f>THG!Z29/THG!Z$6</f>
        <v>1.1318676340216158E-3</v>
      </c>
      <c r="AA29" s="33">
        <f>THG!AA29/THG!AA$6</f>
        <v>1.0594203773814479E-3</v>
      </c>
      <c r="AB29" s="33">
        <f>THG!AB29/THG!AB$6</f>
        <v>1.1400764556141138E-3</v>
      </c>
      <c r="AC29" s="33">
        <f>THG!AC29/THG!AC$6</f>
        <v>1.1782317567407192E-3</v>
      </c>
      <c r="AD29" s="33">
        <f>THG!AD29/THG!AD$6</f>
        <v>9.9154400991416131E-4</v>
      </c>
      <c r="AE29" s="33">
        <f>THG!AE29/THG!AE$6</f>
        <v>8.6561745266622986E-4</v>
      </c>
      <c r="AF29" s="33">
        <f>THG!AF29/THG!AF$6</f>
        <v>1.045277460316093E-3</v>
      </c>
      <c r="AG29" s="33">
        <f>THG!AG29/THG!AG$6</f>
        <v>1.1390582966517284E-3</v>
      </c>
      <c r="AH29" s="33">
        <f>THG!AH29/THG!AH$6</f>
        <v>1.1215777527238159E-3</v>
      </c>
      <c r="AI29" s="33">
        <f>THG!AI29/THG!AI$6</f>
        <v>1.083318002366026E-3</v>
      </c>
      <c r="AJ29" s="33">
        <f>THG!AJ29/THG!AJ$6</f>
        <v>1.1627191897187817E-3</v>
      </c>
      <c r="AK29" s="33">
        <f>THG!AK29/THG!AK$6</f>
        <v>1.1463959185130631E-3</v>
      </c>
      <c r="AL29" s="33">
        <f>THG!AL29/THG!AL$6</f>
        <v>1.1431969483918735E-3</v>
      </c>
    </row>
    <row r="30" spans="2:38" s="149" customFormat="1" ht="18.75" customHeight="1">
      <c r="B30" s="89" t="s">
        <v>7</v>
      </c>
      <c r="C30" s="91">
        <f>THG!C30/THG!C$6</f>
        <v>2.4220174778839362E-3</v>
      </c>
      <c r="D30" s="91">
        <f>THG!D30/THG!D$6</f>
        <v>2.4184696485498995E-3</v>
      </c>
      <c r="E30" s="91">
        <f>THG!E30/THG!E$6</f>
        <v>2.5726071406760973E-3</v>
      </c>
      <c r="F30" s="91">
        <f>THG!F30/THG!F$6</f>
        <v>2.5805082661450535E-3</v>
      </c>
      <c r="G30" s="91">
        <f>THG!G30/THG!G$6</f>
        <v>2.572734064859692E-3</v>
      </c>
      <c r="H30" s="91">
        <f>THG!H30/THG!H$6</f>
        <v>2.1855632370267196E-3</v>
      </c>
      <c r="I30" s="91">
        <f>THG!I30/THG!I$6</f>
        <v>1.9956348510993564E-3</v>
      </c>
      <c r="J30" s="91">
        <f>THG!J30/THG!J$6</f>
        <v>1.7606762899149682E-3</v>
      </c>
      <c r="K30" s="91">
        <f>THG!K30/THG!K$6</f>
        <v>1.8200656066560369E-3</v>
      </c>
      <c r="L30" s="91">
        <f>THG!L30/THG!L$6</f>
        <v>1.6522360810510626E-3</v>
      </c>
      <c r="M30" s="91">
        <f>THG!M30/THG!M$6</f>
        <v>1.5735807089893228E-3</v>
      </c>
      <c r="N30" s="91">
        <f>THG!N30/THG!N$6</f>
        <v>1.5403166452178734E-3</v>
      </c>
      <c r="O30" s="91">
        <f>THG!O30/THG!O$6</f>
        <v>1.5001560059306105E-3</v>
      </c>
      <c r="P30" s="91">
        <f>THG!P30/THG!P$6</f>
        <v>1.835917882988046E-3</v>
      </c>
      <c r="Q30" s="91">
        <f>THG!Q30/THG!Q$6</f>
        <v>1.9805412778435166E-3</v>
      </c>
      <c r="R30" s="91">
        <f>THG!R30/THG!R$6</f>
        <v>2.1504948943626622E-3</v>
      </c>
      <c r="S30" s="91">
        <f>THG!S30/THG!S$6</f>
        <v>2.1297247253305174E-3</v>
      </c>
      <c r="T30" s="91">
        <f>THG!T30/THG!T$6</f>
        <v>2.0083352288593759E-3</v>
      </c>
      <c r="U30" s="91">
        <f>THG!U30/THG!U$6</f>
        <v>2.2371308355890454E-3</v>
      </c>
      <c r="V30" s="91">
        <f>THG!V30/THG!V$6</f>
        <v>1.9936612773769876E-3</v>
      </c>
      <c r="W30" s="91">
        <f>THG!W30/THG!W$6</f>
        <v>2.0821400513673896E-3</v>
      </c>
      <c r="X30" s="91">
        <f>THG!X30/THG!X$6</f>
        <v>1.9921293111969532E-3</v>
      </c>
      <c r="Y30" s="91">
        <f>THG!Y30/THG!Y$6</f>
        <v>2.0314402709748977E-3</v>
      </c>
      <c r="Z30" s="91">
        <f>THG!Z30/THG!Z$6</f>
        <v>1.9844726398235419E-3</v>
      </c>
      <c r="AA30" s="91">
        <f>THG!AA30/THG!AA$6</f>
        <v>2.1090131999246262E-3</v>
      </c>
      <c r="AB30" s="91">
        <f>THG!AB30/THG!AB$6</f>
        <v>2.0838951029219779E-3</v>
      </c>
      <c r="AC30" s="91">
        <f>THG!AC30/THG!AC$6</f>
        <v>1.9973463451966227E-3</v>
      </c>
      <c r="AD30" s="91">
        <f>THG!AD30/THG!AD$6</f>
        <v>2.0288068257725031E-3</v>
      </c>
      <c r="AE30" s="91">
        <f>THG!AE30/THG!AE$6</f>
        <v>2.1788253374340851E-3</v>
      </c>
      <c r="AF30" s="91">
        <f>THG!AF30/THG!AF$6</f>
        <v>2.3242691090357057E-3</v>
      </c>
      <c r="AG30" s="91">
        <f>THG!AG30/THG!AG$6</f>
        <v>2.3500770391096694E-3</v>
      </c>
      <c r="AH30" s="91">
        <f>THG!AH30/THG!AH$6</f>
        <v>2.0765373336627123E-3</v>
      </c>
      <c r="AI30" s="91">
        <f>THG!AI30/THG!AI$6</f>
        <v>1.7631156092747667E-3</v>
      </c>
      <c r="AJ30" s="91">
        <f>THG!AJ30/THG!AJ$6</f>
        <v>2.0349732345114149E-3</v>
      </c>
      <c r="AK30" s="91">
        <f>THG!AK30/THG!AK$6</f>
        <v>2.2024307931325969E-3</v>
      </c>
      <c r="AL30" s="91">
        <f>THG!AL30/THG!AL$6</f>
        <v>2.1824666374733476E-3</v>
      </c>
    </row>
    <row r="31" spans="2:38" s="149" customFormat="1" ht="18.75" customHeight="1">
      <c r="B31" s="1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2:38" s="10" customFormat="1" ht="18.75" customHeight="1">
      <c r="B32" s="152" t="s">
        <v>15</v>
      </c>
      <c r="C32" s="30">
        <f>THG!C32/THG!C$6</f>
        <v>6.8450170538698965E-2</v>
      </c>
      <c r="D32" s="30">
        <f>THG!D32/THG!D$6</f>
        <v>6.3243555890065833E-2</v>
      </c>
      <c r="E32" s="30">
        <f>THG!E32/THG!E$6</f>
        <v>6.4903179958798185E-2</v>
      </c>
      <c r="F32" s="30">
        <f>THG!F32/THG!F$6</f>
        <v>6.4746466159756655E-2</v>
      </c>
      <c r="G32" s="30">
        <f>THG!G32/THG!G$6</f>
        <v>6.6266135134950097E-2</v>
      </c>
      <c r="H32" s="30">
        <f>THG!H32/THG!H$6</f>
        <v>6.6622606901760889E-2</v>
      </c>
      <c r="I32" s="30">
        <f>THG!I32/THG!I$6</f>
        <v>6.6610782269217975E-2</v>
      </c>
      <c r="J32" s="30">
        <f>THG!J32/THG!J$6</f>
        <v>6.6948624090784753E-2</v>
      </c>
      <c r="K32" s="30">
        <f>THG!K32/THG!K$6</f>
        <v>6.81392408271842E-2</v>
      </c>
      <c r="L32" s="30">
        <f>THG!L32/THG!L$6</f>
        <v>7.052603053631519E-2</v>
      </c>
      <c r="M32" s="30">
        <f>THG!M32/THG!M$6</f>
        <v>6.9710899766723664E-2</v>
      </c>
      <c r="N32" s="30">
        <f>THG!N32/THG!N$6</f>
        <v>6.9003746965135143E-2</v>
      </c>
      <c r="O32" s="30">
        <f>THG!O32/THG!O$6</f>
        <v>6.9302733696624305E-2</v>
      </c>
      <c r="P32" s="30">
        <f>THG!P32/THG!P$6</f>
        <v>6.6694146785199554E-2</v>
      </c>
      <c r="Q32" s="30">
        <f>THG!Q32/THG!Q$6</f>
        <v>6.7980070380785851E-2</v>
      </c>
      <c r="R32" s="30">
        <f>THG!R32/THG!R$6</f>
        <v>6.9010176377381716E-2</v>
      </c>
      <c r="S32" s="30">
        <f>THG!S32/THG!S$6</f>
        <v>6.7563084071880178E-2</v>
      </c>
      <c r="T32" s="30">
        <f>THG!T32/THG!T$6</f>
        <v>7.0739745314848002E-2</v>
      </c>
      <c r="U32" s="30">
        <f>THG!U32/THG!U$6</f>
        <v>7.0023075678965138E-2</v>
      </c>
      <c r="V32" s="30">
        <f>THG!V32/THG!V$6</f>
        <v>7.5005439449773711E-2</v>
      </c>
      <c r="W32" s="30">
        <f>THG!W32/THG!W$6</f>
        <v>7.2644599788045439E-2</v>
      </c>
      <c r="X32" s="30">
        <f>THG!X32/THG!X$6</f>
        <v>7.5157589515137985E-2</v>
      </c>
      <c r="Y32" s="30">
        <f>THG!Y32/THG!Y$6</f>
        <v>7.4173502506785893E-2</v>
      </c>
      <c r="Z32" s="30">
        <f>THG!Z32/THG!Z$6</f>
        <v>7.4068377447761111E-2</v>
      </c>
      <c r="AA32" s="30">
        <f>THG!AA32/THG!AA$6</f>
        <v>7.91086991123581E-2</v>
      </c>
      <c r="AB32" s="30">
        <f>THG!AB32/THG!AB$6</f>
        <v>7.7583612416361525E-2</v>
      </c>
      <c r="AC32" s="30">
        <f>THG!AC32/THG!AC$6</f>
        <v>7.7985761007765594E-2</v>
      </c>
      <c r="AD32" s="30">
        <f>THG!AD32/THG!AD$6</f>
        <v>7.8228066538218691E-2</v>
      </c>
      <c r="AE32" s="30">
        <f>THG!AE32/THG!AE$6</f>
        <v>7.7924063434390928E-2</v>
      </c>
      <c r="AF32" s="30">
        <f>THG!AF32/THG!AF$6</f>
        <v>8.2839416212151559E-2</v>
      </c>
      <c r="AG32" s="30">
        <f>THG!AG32/THG!AG$6</f>
        <v>8.8888023558187271E-2</v>
      </c>
      <c r="AH32" s="30">
        <f>THG!AH32/THG!AH$6</f>
        <v>8.4216883325844386E-2</v>
      </c>
      <c r="AI32" s="30">
        <f>THG!AI32/THG!AI$6</f>
        <v>8.2641066765453977E-2</v>
      </c>
      <c r="AJ32" s="30">
        <f>THG!AJ32/THG!AJ$6</f>
        <v>9.3704843287790635E-2</v>
      </c>
      <c r="AK32" s="30">
        <f>THG!AK32/THG!AK$6</f>
        <v>9.3642645187958326E-2</v>
      </c>
      <c r="AL32" s="30">
        <f>THG!AL32/THG!AL$6</f>
        <v>9.3767313301399924E-2</v>
      </c>
    </row>
    <row r="33" spans="2:38" s="149" customFormat="1" ht="18.75" customHeight="1">
      <c r="B33" s="18" t="s">
        <v>18</v>
      </c>
      <c r="C33" s="33">
        <f>THG!C33/THG!C$6</f>
        <v>9.3356380009414035E-3</v>
      </c>
      <c r="D33" s="33">
        <f>THG!D33/THG!D$6</f>
        <v>8.2069822792487854E-3</v>
      </c>
      <c r="E33" s="33">
        <f>THG!E33/THG!E$6</f>
        <v>8.0501201105163418E-3</v>
      </c>
      <c r="F33" s="33">
        <f>THG!F33/THG!F$6</f>
        <v>8.4874996922787681E-3</v>
      </c>
      <c r="G33" s="33">
        <f>THG!G33/THG!G$6</f>
        <v>8.5738880865200498E-3</v>
      </c>
      <c r="H33" s="33">
        <f>THG!H33/THG!H$6</f>
        <v>8.8696141998762419E-3</v>
      </c>
      <c r="I33" s="33">
        <f>THG!I33/THG!I$6</f>
        <v>9.6689754608581674E-3</v>
      </c>
      <c r="J33" s="33">
        <f>THG!J33/THG!J$6</f>
        <v>8.9118104292216539E-3</v>
      </c>
      <c r="K33" s="33">
        <f>THG!K33/THG!K$6</f>
        <v>8.6370679605442466E-3</v>
      </c>
      <c r="L33" s="33">
        <f>THG!L33/THG!L$6</f>
        <v>9.0257304504466063E-3</v>
      </c>
      <c r="M33" s="33">
        <f>THG!M33/THG!M$6</f>
        <v>8.2055452745033123E-3</v>
      </c>
      <c r="N33" s="33">
        <f>THG!N33/THG!N$6</f>
        <v>8.3242301864814745E-3</v>
      </c>
      <c r="O33" s="33">
        <f>THG!O33/THG!O$6</f>
        <v>8.1901383667377699E-3</v>
      </c>
      <c r="P33" s="33">
        <f>THG!P33/THG!P$6</f>
        <v>7.882572156925843E-3</v>
      </c>
      <c r="Q33" s="33">
        <f>THG!Q33/THG!Q$6</f>
        <v>7.8103889417268993E-3</v>
      </c>
      <c r="R33" s="33">
        <f>THG!R33/THG!R$6</f>
        <v>7.7266571370963972E-3</v>
      </c>
      <c r="S33" s="33">
        <f>THG!S33/THG!S$6</f>
        <v>7.9497927840311428E-3</v>
      </c>
      <c r="T33" s="33">
        <f>THG!T33/THG!T$6</f>
        <v>7.542025357927043E-3</v>
      </c>
      <c r="U33" s="33">
        <f>THG!U33/THG!U$6</f>
        <v>8.0271384144791468E-3</v>
      </c>
      <c r="V33" s="33">
        <f>THG!V33/THG!V$6</f>
        <v>8.0793257733177467E-3</v>
      </c>
      <c r="W33" s="33">
        <f>THG!W33/THG!W$6</f>
        <v>8.1928977659587177E-3</v>
      </c>
      <c r="X33" s="33">
        <f>THG!X33/THG!X$6</f>
        <v>9.126864403039477E-3</v>
      </c>
      <c r="Y33" s="33">
        <f>THG!Y33/THG!Y$6</f>
        <v>8.6467986432559735E-3</v>
      </c>
      <c r="Z33" s="33">
        <f>THG!Z33/THG!Z$6</f>
        <v>8.3456569126587107E-3</v>
      </c>
      <c r="AA33" s="33">
        <f>THG!AA33/THG!AA$6</f>
        <v>9.506436340294272E-3</v>
      </c>
      <c r="AB33" s="33">
        <f>THG!AB33/THG!AB$6</f>
        <v>9.0191481051747069E-3</v>
      </c>
      <c r="AC33" s="33">
        <f>THG!AC33/THG!AC$6</f>
        <v>9.1627062001961319E-3</v>
      </c>
      <c r="AD33" s="33">
        <f>THG!AD33/THG!AD$6</f>
        <v>8.6235071630129442E-3</v>
      </c>
      <c r="AE33" s="33">
        <f>THG!AE33/THG!AE$6</f>
        <v>8.8462429076746531E-3</v>
      </c>
      <c r="AF33" s="33">
        <f>THG!AF33/THG!AF$6</f>
        <v>9.3636202371216934E-3</v>
      </c>
      <c r="AG33" s="33">
        <f>THG!AG33/THG!AG$6</f>
        <v>1.0634264751176695E-2</v>
      </c>
      <c r="AH33" s="33">
        <f>THG!AH33/THG!AH$6</f>
        <v>1.0328719113134365E-2</v>
      </c>
      <c r="AI33" s="33">
        <f>THG!AI33/THG!AI$6</f>
        <v>1.0143063709122815E-2</v>
      </c>
      <c r="AJ33" s="33">
        <f>THG!AJ33/THG!AJ$6</f>
        <v>1.1260559363898829E-2</v>
      </c>
      <c r="AK33" s="33">
        <f>THG!AK33/THG!AK$6</f>
        <v>1.1601424329485832E-2</v>
      </c>
      <c r="AL33" s="33">
        <f>THG!AL33/THG!AL$6</f>
        <v>1.1608857144451106E-2</v>
      </c>
    </row>
    <row r="34" spans="2:38" s="149" customFormat="1" ht="18.75" customHeight="1">
      <c r="B34" s="89" t="s">
        <v>29</v>
      </c>
      <c r="C34" s="91">
        <f>THG!C34/THG!C$6</f>
        <v>3.0023924949705971E-2</v>
      </c>
      <c r="D34" s="91">
        <f>THG!D34/THG!D$6</f>
        <v>2.7875291861140461E-2</v>
      </c>
      <c r="E34" s="91">
        <f>THG!E34/THG!E$6</f>
        <v>2.8348364683170712E-2</v>
      </c>
      <c r="F34" s="91">
        <f>THG!F34/THG!F$6</f>
        <v>2.8657723362211982E-2</v>
      </c>
      <c r="G34" s="91">
        <f>THG!G34/THG!G$6</f>
        <v>2.9291976169248675E-2</v>
      </c>
      <c r="H34" s="91">
        <f>THG!H34/THG!H$6</f>
        <v>2.9571951940778565E-2</v>
      </c>
      <c r="I34" s="91">
        <f>THG!I34/THG!I$6</f>
        <v>2.9180287186592015E-2</v>
      </c>
      <c r="J34" s="91">
        <f>THG!J34/THG!J$6</f>
        <v>2.9235940554893539E-2</v>
      </c>
      <c r="K34" s="91">
        <f>THG!K34/THG!K$6</f>
        <v>2.96953635172592E-2</v>
      </c>
      <c r="L34" s="91">
        <f>THG!L34/THG!L$6</f>
        <v>3.0419105842271088E-2</v>
      </c>
      <c r="M34" s="91">
        <f>THG!M34/THG!M$6</f>
        <v>2.9997538014627064E-2</v>
      </c>
      <c r="N34" s="91">
        <f>THG!N34/THG!N$6</f>
        <v>3.0049483827624349E-2</v>
      </c>
      <c r="O34" s="91">
        <f>THG!O34/THG!O$6</f>
        <v>2.946763562394818E-2</v>
      </c>
      <c r="P34" s="91">
        <f>THG!P34/THG!P$6</f>
        <v>2.9284594563354447E-2</v>
      </c>
      <c r="Q34" s="91">
        <f>THG!Q34/THG!Q$6</f>
        <v>2.9046152993050765E-2</v>
      </c>
      <c r="R34" s="91">
        <f>THG!R34/THG!R$6</f>
        <v>2.9484047466780405E-2</v>
      </c>
      <c r="S34" s="91">
        <f>THG!S34/THG!S$6</f>
        <v>2.852658910541692E-2</v>
      </c>
      <c r="T34" s="91">
        <f>THG!T34/THG!T$6</f>
        <v>2.9788534444560619E-2</v>
      </c>
      <c r="U34" s="91">
        <f>THG!U34/THG!U$6</f>
        <v>2.9986965298099737E-2</v>
      </c>
      <c r="V34" s="91">
        <f>THG!V34/THG!V$6</f>
        <v>3.2117088737017435E-2</v>
      </c>
      <c r="W34" s="91">
        <f>THG!W34/THG!W$6</f>
        <v>3.0822532359424799E-2</v>
      </c>
      <c r="X34" s="91">
        <f>THG!X34/THG!X$6</f>
        <v>3.1279943547086894E-2</v>
      </c>
      <c r="Y34" s="91">
        <f>THG!Y34/THG!Y$6</f>
        <v>3.0969175936659023E-2</v>
      </c>
      <c r="Z34" s="91">
        <f>THG!Z34/THG!Z$6</f>
        <v>3.0691093171119101E-2</v>
      </c>
      <c r="AA34" s="91">
        <f>THG!AA34/THG!AA$6</f>
        <v>3.2378920256141391E-2</v>
      </c>
      <c r="AB34" s="91">
        <f>THG!AB34/THG!AB$6</f>
        <v>3.2184236029431053E-2</v>
      </c>
      <c r="AC34" s="91">
        <f>THG!AC34/THG!AC$6</f>
        <v>3.1850795206657505E-2</v>
      </c>
      <c r="AD34" s="91">
        <f>THG!AD34/THG!AD$6</f>
        <v>3.2059890616901406E-2</v>
      </c>
      <c r="AE34" s="91">
        <f>THG!AE34/THG!AE$6</f>
        <v>3.2923952367607014E-2</v>
      </c>
      <c r="AF34" s="91">
        <f>THG!AF34/THG!AF$6</f>
        <v>3.4682319105888433E-2</v>
      </c>
      <c r="AG34" s="91">
        <f>THG!AG34/THG!AG$6</f>
        <v>3.7293478262688973E-2</v>
      </c>
      <c r="AH34" s="91">
        <f>THG!AH34/THG!AH$6</f>
        <v>3.5058982218359132E-2</v>
      </c>
      <c r="AI34" s="91">
        <f>THG!AI34/THG!AI$6</f>
        <v>3.533192253974194E-2</v>
      </c>
      <c r="AJ34" s="91">
        <f>THG!AJ34/THG!AJ$6</f>
        <v>3.9469711857767119E-2</v>
      </c>
      <c r="AK34" s="91">
        <f>THG!AK34/THG!AK$6</f>
        <v>3.9780184262278501E-2</v>
      </c>
      <c r="AL34" s="91">
        <f>THG!AL34/THG!AL$6</f>
        <v>3.9866565099666025E-2</v>
      </c>
    </row>
    <row r="35" spans="2:38" s="149" customFormat="1" ht="18.75" customHeight="1">
      <c r="B35" s="18" t="s">
        <v>30</v>
      </c>
      <c r="C35" s="33">
        <f>THG!C35/THG!C$6</f>
        <v>1.0350565760416194E-2</v>
      </c>
      <c r="D35" s="33">
        <f>THG!D35/THG!D$6</f>
        <v>9.5228394926851912E-3</v>
      </c>
      <c r="E35" s="33">
        <f>THG!E35/THG!E$6</f>
        <v>1.0008185497290293E-2</v>
      </c>
      <c r="F35" s="33">
        <f>THG!F35/THG!F$6</f>
        <v>1.025086467273412E-2</v>
      </c>
      <c r="G35" s="33">
        <f>THG!G35/THG!G$6</f>
        <v>1.0432511684719413E-2</v>
      </c>
      <c r="H35" s="33">
        <f>THG!H35/THG!H$6</f>
        <v>1.0488570817261995E-2</v>
      </c>
      <c r="I35" s="33">
        <f>THG!I35/THG!I$6</f>
        <v>1.0426617618909924E-2</v>
      </c>
      <c r="J35" s="33">
        <f>THG!J35/THG!J$6</f>
        <v>1.0522615787351643E-2</v>
      </c>
      <c r="K35" s="33">
        <f>THG!K35/THG!K$6</f>
        <v>1.0974578071063437E-2</v>
      </c>
      <c r="L35" s="33">
        <f>THG!L35/THG!L$6</f>
        <v>1.1169287912852825E-2</v>
      </c>
      <c r="M35" s="33">
        <f>THG!M35/THG!M$6</f>
        <v>1.116846118957779E-2</v>
      </c>
      <c r="N35" s="33">
        <f>THG!N35/THG!N$6</f>
        <v>1.1223423522520615E-2</v>
      </c>
      <c r="O35" s="33">
        <f>THG!O35/THG!O$6</f>
        <v>1.1195177646105928E-2</v>
      </c>
      <c r="P35" s="33">
        <f>THG!P35/THG!P$6</f>
        <v>1.0882970343956255E-2</v>
      </c>
      <c r="Q35" s="33">
        <f>THG!Q35/THG!Q$6</f>
        <v>1.1115995101192697E-2</v>
      </c>
      <c r="R35" s="33">
        <f>THG!R35/THG!R$6</f>
        <v>1.1245996334481846E-2</v>
      </c>
      <c r="S35" s="33">
        <f>THG!S35/THG!S$6</f>
        <v>1.0800021849539864E-2</v>
      </c>
      <c r="T35" s="33">
        <f>THG!T35/THG!T$6</f>
        <v>1.1388530536206438E-2</v>
      </c>
      <c r="U35" s="33">
        <f>THG!U35/THG!U$6</f>
        <v>1.1126227761561296E-2</v>
      </c>
      <c r="V35" s="33">
        <f>THG!V35/THG!V$6</f>
        <v>1.1842446663312167E-2</v>
      </c>
      <c r="W35" s="33">
        <f>THG!W35/THG!W$6</f>
        <v>1.107028677338113E-2</v>
      </c>
      <c r="X35" s="33">
        <f>THG!X35/THG!X$6</f>
        <v>1.1081297940491803E-2</v>
      </c>
      <c r="Y35" s="33">
        <f>THG!Y35/THG!Y$6</f>
        <v>1.1050993477485314E-2</v>
      </c>
      <c r="Z35" s="33">
        <f>THG!Z35/THG!Z$6</f>
        <v>1.0933301940804782E-2</v>
      </c>
      <c r="AA35" s="33">
        <f>THG!AA35/THG!AA$6</f>
        <v>1.1492893414619558E-2</v>
      </c>
      <c r="AB35" s="33">
        <f>THG!AB35/THG!AB$6</f>
        <v>1.1223748021730838E-2</v>
      </c>
      <c r="AC35" s="33">
        <f>THG!AC35/THG!AC$6</f>
        <v>1.1271204161910204E-2</v>
      </c>
      <c r="AD35" s="33">
        <f>THG!AD35/THG!AD$6</f>
        <v>1.1626246569582027E-2</v>
      </c>
      <c r="AE35" s="33">
        <f>THG!AE35/THG!AE$6</f>
        <v>1.1332022357856903E-2</v>
      </c>
      <c r="AF35" s="33">
        <f>THG!AF35/THG!AF$6</f>
        <v>1.2334189103237235E-2</v>
      </c>
      <c r="AG35" s="33">
        <f>THG!AG35/THG!AG$6</f>
        <v>1.3169299191284808E-2</v>
      </c>
      <c r="AH35" s="33">
        <f>THG!AH35/THG!AH$6</f>
        <v>1.2354998200759602E-2</v>
      </c>
      <c r="AI35" s="33">
        <f>THG!AI35/THG!AI$6</f>
        <v>1.1527324583698076E-2</v>
      </c>
      <c r="AJ35" s="33">
        <f>THG!AJ35/THG!AJ$6</f>
        <v>1.3672009703898485E-2</v>
      </c>
      <c r="AK35" s="33">
        <f>THG!AK35/THG!AK$6</f>
        <v>1.3954677864724277E-2</v>
      </c>
      <c r="AL35" s="33">
        <f>THG!AL35/THG!AL$6</f>
        <v>1.3405482895569027E-2</v>
      </c>
    </row>
    <row r="36" spans="2:38" s="149" customFormat="1" ht="18.75" customHeight="1">
      <c r="B36" s="89" t="s">
        <v>31</v>
      </c>
      <c r="C36" s="91">
        <f>THG!C36/THG!C$6</f>
        <v>1.6193715093241762E-2</v>
      </c>
      <c r="D36" s="91">
        <f>THG!D36/THG!D$6</f>
        <v>1.5235971315144635E-2</v>
      </c>
      <c r="E36" s="91">
        <f>THG!E36/THG!E$6</f>
        <v>1.6228144086126956E-2</v>
      </c>
      <c r="F36" s="91">
        <f>THG!F36/THG!F$6</f>
        <v>1.5343952018727562E-2</v>
      </c>
      <c r="G36" s="91">
        <f>THG!G36/THG!G$6</f>
        <v>1.6042112054811989E-2</v>
      </c>
      <c r="H36" s="91">
        <f>THG!H36/THG!H$6</f>
        <v>1.5793730554317879E-2</v>
      </c>
      <c r="I36" s="91">
        <f>THG!I36/THG!I$6</f>
        <v>1.5348872913543912E-2</v>
      </c>
      <c r="J36" s="91">
        <f>THG!J36/THG!J$6</f>
        <v>1.6136326585426342E-2</v>
      </c>
      <c r="K36" s="91">
        <f>THG!K36/THG!K$6</f>
        <v>1.6510112117120977E-2</v>
      </c>
      <c r="L36" s="91">
        <f>THG!L36/THG!L$6</f>
        <v>1.735599676462939E-2</v>
      </c>
      <c r="M36" s="91">
        <f>THG!M36/THG!M$6</f>
        <v>1.7750783176163236E-2</v>
      </c>
      <c r="N36" s="91">
        <f>THG!N36/THG!N$6</f>
        <v>1.6825566929443196E-2</v>
      </c>
      <c r="O36" s="91">
        <f>THG!O36/THG!O$6</f>
        <v>1.7900371118828237E-2</v>
      </c>
      <c r="P36" s="91">
        <f>THG!P36/THG!P$6</f>
        <v>1.608512986560999E-2</v>
      </c>
      <c r="Q36" s="91">
        <f>THG!Q36/THG!Q$6</f>
        <v>1.7469842725546962E-2</v>
      </c>
      <c r="R36" s="91">
        <f>THG!R36/THG!R$6</f>
        <v>1.7780967949108457E-2</v>
      </c>
      <c r="S36" s="91">
        <f>THG!S36/THG!S$6</f>
        <v>1.7438136363958159E-2</v>
      </c>
      <c r="T36" s="91">
        <f>THG!T36/THG!T$6</f>
        <v>1.8832706249725724E-2</v>
      </c>
      <c r="U36" s="91">
        <f>THG!U36/THG!U$6</f>
        <v>1.7513293878368013E-2</v>
      </c>
      <c r="V36" s="91">
        <f>THG!V36/THG!V$6</f>
        <v>1.9191561708978871E-2</v>
      </c>
      <c r="W36" s="91">
        <f>THG!W36/THG!W$6</f>
        <v>1.863553941539902E-2</v>
      </c>
      <c r="X36" s="91">
        <f>THG!X36/THG!X$6</f>
        <v>1.9381712308183179E-2</v>
      </c>
      <c r="Y36" s="91">
        <f>THG!Y36/THG!Y$6</f>
        <v>1.9102540691886907E-2</v>
      </c>
      <c r="Z36" s="91">
        <f>THG!Z36/THG!Z$6</f>
        <v>1.9383234709365423E-2</v>
      </c>
      <c r="AA36" s="91">
        <f>THG!AA36/THG!AA$6</f>
        <v>2.0552386727106249E-2</v>
      </c>
      <c r="AB36" s="91">
        <f>THG!AB36/THG!AB$6</f>
        <v>1.9923220956365922E-2</v>
      </c>
      <c r="AC36" s="91">
        <f>THG!AC36/THG!AC$6</f>
        <v>2.051140037817379E-2</v>
      </c>
      <c r="AD36" s="91">
        <f>THG!AD36/THG!AD$6</f>
        <v>2.0766768036324545E-2</v>
      </c>
      <c r="AE36" s="91">
        <f>THG!AE36/THG!AE$6</f>
        <v>1.9531273543071027E-2</v>
      </c>
      <c r="AF36" s="91">
        <f>THG!AF36/THG!AF$6</f>
        <v>2.103081990800185E-2</v>
      </c>
      <c r="AG36" s="91">
        <f>THG!AG36/THG!AG$6</f>
        <v>2.201950275143089E-2</v>
      </c>
      <c r="AH36" s="91">
        <f>THG!AH36/THG!AH$6</f>
        <v>2.1135774200028164E-2</v>
      </c>
      <c r="AI36" s="91">
        <f>THG!AI36/THG!AI$6</f>
        <v>2.0097536888561168E-2</v>
      </c>
      <c r="AJ36" s="91">
        <f>THG!AJ36/THG!AJ$6</f>
        <v>2.3370517951211624E-2</v>
      </c>
      <c r="AK36" s="91">
        <f>THG!AK36/THG!AK$6</f>
        <v>2.2274262330387661E-2</v>
      </c>
      <c r="AL36" s="91">
        <f>THG!AL36/THG!AL$6</f>
        <v>2.2455111107469838E-2</v>
      </c>
    </row>
    <row r="37" spans="2:38" s="149" customFormat="1" ht="18.75" customHeight="1">
      <c r="B37" s="18" t="s">
        <v>32</v>
      </c>
      <c r="C37" s="33">
        <f>THG!C37/THG!C$6</f>
        <v>1.7556142055257487E-3</v>
      </c>
      <c r="D37" s="33">
        <f>THG!D37/THG!D$6</f>
        <v>1.6467081886406847E-3</v>
      </c>
      <c r="E37" s="33">
        <f>THG!E37/THG!E$6</f>
        <v>1.5103621626739953E-3</v>
      </c>
      <c r="F37" s="33">
        <f>THG!F37/THG!F$6</f>
        <v>1.2757984161560724E-3</v>
      </c>
      <c r="G37" s="33">
        <f>THG!G37/THG!G$6</f>
        <v>1.1714638842363725E-3</v>
      </c>
      <c r="H37" s="33">
        <f>THG!H37/THG!H$6</f>
        <v>1.1391651113729347E-3</v>
      </c>
      <c r="I37" s="33">
        <f>THG!I37/THG!I$6</f>
        <v>1.2105923928048461E-3</v>
      </c>
      <c r="J37" s="33">
        <f>THG!J37/THG!J$6</f>
        <v>1.3397098264932026E-3</v>
      </c>
      <c r="K37" s="33">
        <f>THG!K37/THG!K$6</f>
        <v>1.4706144937246138E-3</v>
      </c>
      <c r="L37" s="33">
        <f>THG!L37/THG!L$6</f>
        <v>1.6402548706908426E-3</v>
      </c>
      <c r="M37" s="33">
        <f>THG!M37/THG!M$6</f>
        <v>1.6254974006687164E-3</v>
      </c>
      <c r="N37" s="33">
        <f>THG!N37/THG!N$6</f>
        <v>1.6027944696437441E-3</v>
      </c>
      <c r="O37" s="33">
        <f>THG!O37/THG!O$6</f>
        <v>1.5358183025104078E-3</v>
      </c>
      <c r="P37" s="33">
        <f>THG!P37/THG!P$6</f>
        <v>1.5217668123251719E-3</v>
      </c>
      <c r="Q37" s="33">
        <f>THG!Q37/THG!Q$6</f>
        <v>1.4668113105410889E-3</v>
      </c>
      <c r="R37" s="33">
        <f>THG!R37/THG!R$6</f>
        <v>1.443466883616502E-3</v>
      </c>
      <c r="S37" s="33">
        <f>THG!S37/THG!S$6</f>
        <v>1.4356274056059688E-3</v>
      </c>
      <c r="T37" s="33">
        <f>THG!T37/THG!T$6</f>
        <v>1.5330729362549804E-3</v>
      </c>
      <c r="U37" s="33">
        <f>THG!U37/THG!U$6</f>
        <v>1.600863614455876E-3</v>
      </c>
      <c r="V37" s="33">
        <f>THG!V37/THG!V$6</f>
        <v>1.6886651146706707E-3</v>
      </c>
      <c r="W37" s="33">
        <f>THG!W37/THG!W$6</f>
        <v>1.6597920874192912E-3</v>
      </c>
      <c r="X37" s="33">
        <f>THG!X37/THG!X$6</f>
        <v>1.7554398797476017E-3</v>
      </c>
      <c r="Y37" s="33">
        <f>THG!Y37/THG!Y$6</f>
        <v>1.8453493963432352E-3</v>
      </c>
      <c r="Z37" s="33">
        <f>THG!Z37/THG!Z$6</f>
        <v>1.9480142927208138E-3</v>
      </c>
      <c r="AA37" s="33">
        <f>THG!AA37/THG!AA$6</f>
        <v>2.1416306532536663E-3</v>
      </c>
      <c r="AB37" s="33">
        <f>THG!AB37/THG!AB$6</f>
        <v>2.1208290412996276E-3</v>
      </c>
      <c r="AC37" s="33">
        <f>THG!AC37/THG!AC$6</f>
        <v>2.0931124174976812E-3</v>
      </c>
      <c r="AD37" s="33">
        <f>THG!AD37/THG!AD$6</f>
        <v>2.1862525392696689E-3</v>
      </c>
      <c r="AE37" s="33">
        <f>THG!AE37/THG!AE$6</f>
        <v>2.4083686349109972E-3</v>
      </c>
      <c r="AF37" s="33">
        <f>THG!AF37/THG!AF$6</f>
        <v>2.5549333286465727E-3</v>
      </c>
      <c r="AG37" s="33">
        <f>THG!AG37/THG!AG$6</f>
        <v>2.749456274203802E-3</v>
      </c>
      <c r="AH37" s="33">
        <f>THG!AH37/THG!AH$6</f>
        <v>2.5992211516447849E-3</v>
      </c>
      <c r="AI37" s="33">
        <f>THG!AI37/THG!AI$6</f>
        <v>2.6620981213566269E-3</v>
      </c>
      <c r="AJ37" s="33">
        <f>THG!AJ37/THG!AJ$6</f>
        <v>2.8953816575851264E-3</v>
      </c>
      <c r="AK37" s="33">
        <f>THG!AK37/THG!AK$6</f>
        <v>2.9341238338561788E-3</v>
      </c>
      <c r="AL37" s="33">
        <f>THG!AL37/THG!AL$6</f>
        <v>3.3219408970552576E-3</v>
      </c>
    </row>
    <row r="38" spans="2:38" s="149" customFormat="1" ht="18.75" customHeight="1">
      <c r="B38" s="89" t="s">
        <v>33</v>
      </c>
      <c r="C38" s="91">
        <f>THG!C38/THG!C$6</f>
        <v>3.8303955587874869E-4</v>
      </c>
      <c r="D38" s="91">
        <f>THG!D38/THG!D$6</f>
        <v>3.6230973475810614E-4</v>
      </c>
      <c r="E38" s="91">
        <f>THG!E38/THG!E$6</f>
        <v>3.6922966690825063E-4</v>
      </c>
      <c r="F38" s="91">
        <f>THG!F38/THG!F$6</f>
        <v>3.6755951360858442E-4</v>
      </c>
      <c r="G38" s="91">
        <f>THG!G38/THG!G$6</f>
        <v>3.9668108230760178E-4</v>
      </c>
      <c r="H38" s="91">
        <f>THG!H38/THG!H$6</f>
        <v>4.0816382560752469E-4</v>
      </c>
      <c r="I38" s="91">
        <f>THG!I38/THG!I$6</f>
        <v>4.2516182042136677E-4</v>
      </c>
      <c r="J38" s="91">
        <f>THG!J38/THG!J$6</f>
        <v>4.5058950224519611E-4</v>
      </c>
      <c r="K38" s="91">
        <f>THG!K38/THG!K$6</f>
        <v>4.8528924916930305E-4</v>
      </c>
      <c r="L38" s="91">
        <f>THG!L38/THG!L$6</f>
        <v>5.2753390915273558E-4</v>
      </c>
      <c r="M38" s="91">
        <f>THG!M38/THG!M$6</f>
        <v>5.6867806926510383E-4</v>
      </c>
      <c r="N38" s="91">
        <f>THG!N38/THG!N$6</f>
        <v>5.8808523742239209E-4</v>
      </c>
      <c r="O38" s="91">
        <f>THG!O38/THG!O$6</f>
        <v>6.1732344375860823E-4</v>
      </c>
      <c r="P38" s="91">
        <f>THG!P38/THG!P$6</f>
        <v>6.3083609684614467E-4</v>
      </c>
      <c r="Q38" s="91">
        <f>THG!Q38/THG!Q$6</f>
        <v>6.2760842364606808E-4</v>
      </c>
      <c r="R38" s="91">
        <f>THG!R38/THG!R$6</f>
        <v>6.4825903114186241E-4</v>
      </c>
      <c r="S38" s="91">
        <f>THG!S38/THG!S$6</f>
        <v>6.2967429963590104E-4</v>
      </c>
      <c r="T38" s="91">
        <f>THG!T38/THG!T$6</f>
        <v>6.7208408270940279E-4</v>
      </c>
      <c r="U38" s="91">
        <f>THG!U38/THG!U$6</f>
        <v>7.1987844031978971E-4</v>
      </c>
      <c r="V38" s="91">
        <f>THG!V38/THG!V$6</f>
        <v>7.5087869501253989E-4</v>
      </c>
      <c r="W38" s="91">
        <f>THG!W38/THG!W$6</f>
        <v>7.6158964146118095E-4</v>
      </c>
      <c r="X38" s="91">
        <f>THG!X38/THG!X$6</f>
        <v>7.2060145628145703E-4</v>
      </c>
      <c r="Y38" s="91">
        <f>THG!Y38/THG!Y$6</f>
        <v>7.5239580024732944E-4</v>
      </c>
      <c r="Z38" s="91">
        <f>THG!Z38/THG!Z$6</f>
        <v>7.1806867050747342E-4</v>
      </c>
      <c r="AA38" s="91">
        <f>THG!AA38/THG!AA$6</f>
        <v>8.3744226277131521E-4</v>
      </c>
      <c r="AB38" s="91">
        <f>THG!AB38/THG!AB$6</f>
        <v>8.8080354827581027E-4</v>
      </c>
      <c r="AC38" s="91">
        <f>THG!AC38/THG!AC$6</f>
        <v>9.0669061303991173E-4</v>
      </c>
      <c r="AD38" s="91">
        <f>THG!AD38/THG!AD$6</f>
        <v>8.1189552252650316E-4</v>
      </c>
      <c r="AE38" s="91">
        <f>THG!AE38/THG!AE$6</f>
        <v>7.1194650507154446E-4</v>
      </c>
      <c r="AF38" s="91">
        <f>THG!AF38/THG!AF$6</f>
        <v>6.2374415620849175E-4</v>
      </c>
      <c r="AG38" s="91">
        <f>THG!AG38/THG!AG$6</f>
        <v>5.9272470147257793E-4</v>
      </c>
      <c r="AH38" s="91">
        <f>THG!AH38/THG!AH$6</f>
        <v>5.2085789607665602E-4</v>
      </c>
      <c r="AI38" s="91">
        <f>THG!AI38/THG!AI$6</f>
        <v>4.8981146583995715E-4</v>
      </c>
      <c r="AJ38" s="91">
        <f>THG!AJ38/THG!AJ$6</f>
        <v>5.1899850268154646E-4</v>
      </c>
      <c r="AK38" s="91">
        <f>THG!AK38/THG!AK$6</f>
        <v>5.0818275891696479E-4</v>
      </c>
      <c r="AL38" s="91">
        <f>THG!AL38/THG!AL$6</f>
        <v>5.0773145266274006E-4</v>
      </c>
    </row>
    <row r="39" spans="2:38" s="149" customFormat="1" ht="18.75" customHeight="1">
      <c r="B39" s="18" t="s">
        <v>34</v>
      </c>
      <c r="C39" s="33">
        <f>THG!C39/THG!C$6</f>
        <v>4.0733796682937385E-4</v>
      </c>
      <c r="D39" s="33">
        <f>THG!D39/THG!D$6</f>
        <v>3.9261328311203093E-4</v>
      </c>
      <c r="E39" s="33">
        <f>THG!E39/THG!E$6</f>
        <v>3.8759383354048407E-4</v>
      </c>
      <c r="F39" s="33">
        <f>THG!F39/THG!F$6</f>
        <v>3.6152053191250275E-4</v>
      </c>
      <c r="G39" s="33">
        <f>THG!G39/THG!G$6</f>
        <v>3.5557214401000674E-4</v>
      </c>
      <c r="H39" s="33">
        <f>THG!H39/THG!H$6</f>
        <v>3.4670928361234471E-4</v>
      </c>
      <c r="I39" s="33">
        <f>THG!I39/THG!I$6</f>
        <v>3.4259135386011601E-4</v>
      </c>
      <c r="J39" s="33">
        <f>THG!J39/THG!J$6</f>
        <v>3.4164503242818098E-4</v>
      </c>
      <c r="K39" s="33">
        <f>THG!K39/THG!K$6</f>
        <v>3.4315612856790166E-4</v>
      </c>
      <c r="L39" s="33">
        <f>THG!L39/THG!L$6</f>
        <v>3.6113760948086523E-4</v>
      </c>
      <c r="M39" s="33">
        <f>THG!M39/THG!M$6</f>
        <v>3.515138515413308E-4</v>
      </c>
      <c r="N39" s="33">
        <f>THG!N39/THG!N$6</f>
        <v>3.301693766381412E-4</v>
      </c>
      <c r="O39" s="33">
        <f>THG!O39/THG!O$6</f>
        <v>3.0848825320058083E-4</v>
      </c>
      <c r="P39" s="33">
        <f>THG!P39/THG!P$6</f>
        <v>3.0291478561983524E-4</v>
      </c>
      <c r="Q39" s="33">
        <f>THG!Q39/THG!Q$6</f>
        <v>3.0650457435185007E-4</v>
      </c>
      <c r="R39" s="33">
        <f>THG!R39/THG!R$6</f>
        <v>3.1096882071480304E-4</v>
      </c>
      <c r="S39" s="33">
        <f>THG!S39/THG!S$6</f>
        <v>2.8519110731241846E-4</v>
      </c>
      <c r="T39" s="33">
        <f>THG!T39/THG!T$6</f>
        <v>2.9362649042873415E-4</v>
      </c>
      <c r="U39" s="33">
        <f>THG!U39/THG!U$6</f>
        <v>2.7020485138709355E-4</v>
      </c>
      <c r="V39" s="33">
        <f>THG!V39/THG!V$6</f>
        <v>2.9654177050644418E-4</v>
      </c>
      <c r="W39" s="33">
        <f>THG!W39/THG!W$6</f>
        <v>2.7563535298236348E-4</v>
      </c>
      <c r="X39" s="33">
        <f>THG!X39/THG!X$6</f>
        <v>2.9098554927001592E-4</v>
      </c>
      <c r="Y39" s="33">
        <f>THG!Y39/THG!Y$6</f>
        <v>2.769131171445658E-4</v>
      </c>
      <c r="Z39" s="33">
        <f>THG!Z39/THG!Z$6</f>
        <v>2.5655051904739347E-4</v>
      </c>
      <c r="AA39" s="33">
        <f>THG!AA39/THG!AA$6</f>
        <v>2.6386766165366213E-4</v>
      </c>
      <c r="AB39" s="33">
        <f>THG!AB39/THG!AB$6</f>
        <v>2.5670059382332315E-4</v>
      </c>
      <c r="AC39" s="33">
        <f>THG!AC39/THG!AC$6</f>
        <v>2.5106579462318325E-4</v>
      </c>
      <c r="AD39" s="33">
        <f>THG!AD39/THG!AD$6</f>
        <v>2.4037133076363243E-4</v>
      </c>
      <c r="AE39" s="33">
        <f>THG!AE39/THG!AE$6</f>
        <v>2.3844297560079758E-4</v>
      </c>
      <c r="AF39" s="33">
        <f>THG!AF39/THG!AF$6</f>
        <v>2.4337986820073193E-4</v>
      </c>
      <c r="AG39" s="33">
        <f>THG!AG39/THG!AG$6</f>
        <v>2.5371578510284564E-4</v>
      </c>
      <c r="AH39" s="33">
        <f>THG!AH39/THG!AH$6</f>
        <v>2.3014335082654675E-4</v>
      </c>
      <c r="AI39" s="33">
        <f>THG!AI39/THG!AI$6</f>
        <v>2.1018112538916632E-4</v>
      </c>
      <c r="AJ39" s="33">
        <f>THG!AJ39/THG!AJ$6</f>
        <v>2.207476200180727E-4</v>
      </c>
      <c r="AK39" s="33">
        <f>THG!AK39/THG!AK$6</f>
        <v>2.2277294568422856E-4</v>
      </c>
      <c r="AL39" s="33">
        <f>THG!AL39/THG!AL$6</f>
        <v>2.3483502264854273E-4</v>
      </c>
    </row>
    <row r="40" spans="2:38" s="149" customFormat="1" ht="18.75" customHeight="1">
      <c r="B40" s="89" t="s">
        <v>35</v>
      </c>
      <c r="C40" s="91">
        <f>THG!C40/THG!C$6</f>
        <v>3.3500615976382564E-7</v>
      </c>
      <c r="D40" s="91">
        <f>THG!D40/THG!D$6</f>
        <v>8.3973533593468788E-7</v>
      </c>
      <c r="E40" s="91">
        <f>THG!E40/THG!E$6</f>
        <v>1.1799185711456184E-6</v>
      </c>
      <c r="F40" s="91">
        <f>THG!F40/THG!F$6</f>
        <v>1.5479521270607464E-6</v>
      </c>
      <c r="G40" s="91">
        <f>THG!G40/THG!G$6</f>
        <v>1.9300290959852492E-6</v>
      </c>
      <c r="H40" s="91">
        <f>THG!H40/THG!H$6</f>
        <v>4.7011689334114664E-6</v>
      </c>
      <c r="I40" s="91">
        <f>THG!I40/THG!I$6</f>
        <v>7.6835222276443249E-6</v>
      </c>
      <c r="J40" s="91">
        <f>THG!J40/THG!J$6</f>
        <v>9.9863727249765023E-6</v>
      </c>
      <c r="K40" s="91">
        <f>THG!K40/THG!K$6</f>
        <v>2.3059289734542311E-5</v>
      </c>
      <c r="L40" s="91">
        <f>THG!L40/THG!L$6</f>
        <v>2.6983176790854067E-5</v>
      </c>
      <c r="M40" s="91">
        <f>THG!M40/THG!M$6</f>
        <v>4.2882790377119832E-5</v>
      </c>
      <c r="N40" s="91">
        <f>THG!N40/THG!N$6</f>
        <v>5.9993415361225049E-5</v>
      </c>
      <c r="O40" s="91">
        <f>THG!O40/THG!O$6</f>
        <v>8.7780941534597388E-5</v>
      </c>
      <c r="P40" s="91">
        <f>THG!P40/THG!P$6</f>
        <v>1.0336216056186554E-4</v>
      </c>
      <c r="Q40" s="91">
        <f>THG!Q40/THG!Q$6</f>
        <v>1.3676631072952647E-4</v>
      </c>
      <c r="R40" s="91">
        <f>THG!R40/THG!R$6</f>
        <v>3.6981275444144087E-4</v>
      </c>
      <c r="S40" s="91">
        <f>THG!S40/THG!S$6</f>
        <v>4.9805115637980104E-4</v>
      </c>
      <c r="T40" s="91">
        <f>THG!T40/THG!T$6</f>
        <v>6.8916521703506087E-4</v>
      </c>
      <c r="U40" s="91">
        <f>THG!U40/THG!U$6</f>
        <v>7.7850342029420791E-4</v>
      </c>
      <c r="V40" s="91">
        <f>THG!V40/THG!V$6</f>
        <v>1.038930986957823E-3</v>
      </c>
      <c r="W40" s="91">
        <f>THG!W40/THG!W$6</f>
        <v>1.2263263920189419E-3</v>
      </c>
      <c r="X40" s="91">
        <f>THG!X40/THG!X$6</f>
        <v>1.5207444310375441E-3</v>
      </c>
      <c r="Y40" s="91">
        <f>THG!Y40/THG!Y$6</f>
        <v>1.5293354437635441E-3</v>
      </c>
      <c r="Z40" s="91">
        <f>THG!Z40/THG!Z$6</f>
        <v>1.79245723153743E-3</v>
      </c>
      <c r="AA40" s="91">
        <f>THG!AA40/THG!AA$6</f>
        <v>1.9351217965179952E-3</v>
      </c>
      <c r="AB40" s="91">
        <f>THG!AB40/THG!AB$6</f>
        <v>1.9749261202602407E-3</v>
      </c>
      <c r="AC40" s="91">
        <f>THG!AC40/THG!AC$6</f>
        <v>1.9387862356671718E-3</v>
      </c>
      <c r="AD40" s="91">
        <f>THG!AD40/THG!AD$6</f>
        <v>1.9131347598379781E-3</v>
      </c>
      <c r="AE40" s="91">
        <f>THG!AE40/THG!AE$6</f>
        <v>1.9318141425979784E-3</v>
      </c>
      <c r="AF40" s="91">
        <f>THG!AF40/THG!AF$6</f>
        <v>2.006410504846564E-3</v>
      </c>
      <c r="AG40" s="91">
        <f>THG!AG40/THG!AG$6</f>
        <v>2.1755818408266759E-3</v>
      </c>
      <c r="AH40" s="91">
        <f>THG!AH40/THG!AH$6</f>
        <v>1.9881871950151232E-3</v>
      </c>
      <c r="AI40" s="91">
        <f>THG!AI40/THG!AI$6</f>
        <v>2.179128331744223E-3</v>
      </c>
      <c r="AJ40" s="91">
        <f>THG!AJ40/THG!AJ$6</f>
        <v>2.2969166307298242E-3</v>
      </c>
      <c r="AK40" s="91">
        <f>THG!AK40/THG!AK$6</f>
        <v>2.3670168626246904E-3</v>
      </c>
      <c r="AL40" s="91">
        <f>THG!AL40/THG!AL$6</f>
        <v>2.366789681877392E-3</v>
      </c>
    </row>
    <row r="41" spans="2:38" s="149" customFormat="1" ht="18.75" customHeight="1">
      <c r="B41" s="1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2:38" s="10" customFormat="1" ht="18.75" customHeight="1">
      <c r="B42" s="152" t="s">
        <v>16</v>
      </c>
      <c r="C42" s="30">
        <f>THG!C42/THG!C$6</f>
        <v>3.3157196168346829E-2</v>
      </c>
      <c r="D42" s="30">
        <f>THG!D42/THG!D$6</f>
        <v>3.5723360073852614E-2</v>
      </c>
      <c r="E42" s="30">
        <f>THG!E42/THG!E$6</f>
        <v>3.7730069131027021E-2</v>
      </c>
      <c r="F42" s="30">
        <f>THG!F42/THG!F$6</f>
        <v>3.7798217217699041E-2</v>
      </c>
      <c r="G42" s="30">
        <f>THG!G42/THG!G$6</f>
        <v>3.7434821313964028E-2</v>
      </c>
      <c r="H42" s="30">
        <f>THG!H42/THG!H$6</f>
        <v>3.6553769623502999E-2</v>
      </c>
      <c r="I42" s="30">
        <f>THG!I42/THG!I$6</f>
        <v>3.4440910565240429E-2</v>
      </c>
      <c r="J42" s="30">
        <f>THG!J42/THG!J$6</f>
        <v>3.2553219862435506E-2</v>
      </c>
      <c r="K42" s="30">
        <f>THG!K42/THG!K$6</f>
        <v>3.0957297016806419E-2</v>
      </c>
      <c r="L42" s="30">
        <f>THG!L42/THG!L$6</f>
        <v>3.0077368061687565E-2</v>
      </c>
      <c r="M42" s="30">
        <f>THG!M42/THG!M$6</f>
        <v>2.8353317832538402E-2</v>
      </c>
      <c r="N42" s="30">
        <f>THG!N42/THG!N$6</f>
        <v>2.6080106628556886E-2</v>
      </c>
      <c r="O42" s="30">
        <f>THG!O42/THG!O$6</f>
        <v>2.4934009506132896E-2</v>
      </c>
      <c r="P42" s="30">
        <f>THG!P42/THG!P$6</f>
        <v>2.3349213084305161E-2</v>
      </c>
      <c r="Q42" s="30">
        <f>THG!Q42/THG!Q$6</f>
        <v>2.1262215190580528E-2</v>
      </c>
      <c r="R42" s="30">
        <f>THG!R42/THG!R$6</f>
        <v>2.0052286409099205E-2</v>
      </c>
      <c r="S42" s="30">
        <f>THG!S42/THG!S$6</f>
        <v>1.7722882638664641E-2</v>
      </c>
      <c r="T42" s="30">
        <f>THG!T42/THG!T$6</f>
        <v>1.6851661821208362E-2</v>
      </c>
      <c r="U42" s="30">
        <f>THG!U42/THG!U$6</f>
        <v>1.5378675487111443E-2</v>
      </c>
      <c r="V42" s="30">
        <f>THG!V42/THG!V$6</f>
        <v>1.4918139107472545E-2</v>
      </c>
      <c r="W42" s="30">
        <f>THG!W42/THG!W$6</f>
        <v>1.306397297903015E-2</v>
      </c>
      <c r="X42" s="30">
        <f>THG!X42/THG!X$6</f>
        <v>1.2460469864932721E-2</v>
      </c>
      <c r="Y42" s="30">
        <f>THG!Y42/THG!Y$6</f>
        <v>1.1433018270726316E-2</v>
      </c>
      <c r="Z42" s="30">
        <f>THG!Z42/THG!Z$6</f>
        <v>1.0343396087988604E-2</v>
      </c>
      <c r="AA42" s="30">
        <f>THG!AA42/THG!AA$6</f>
        <v>1.012287858481037E-2</v>
      </c>
      <c r="AB42" s="30">
        <f>THG!AB42/THG!AB$6</f>
        <v>9.3961977661407015E-3</v>
      </c>
      <c r="AC42" s="30">
        <f>THG!AC42/THG!AC$6</f>
        <v>8.7921146068580518E-3</v>
      </c>
      <c r="AD42" s="30">
        <f>THG!AD42/THG!AD$6</f>
        <v>8.4914801884923754E-3</v>
      </c>
      <c r="AE42" s="30">
        <f>THG!AE42/THG!AE$6</f>
        <v>8.3884033183055651E-3</v>
      </c>
      <c r="AF42" s="30">
        <f>THG!AF42/THG!AF$6</f>
        <v>8.2785955996740358E-3</v>
      </c>
      <c r="AG42" s="30">
        <f>THG!AG42/THG!AG$6</f>
        <v>8.3699957141876932E-3</v>
      </c>
      <c r="AH42" s="30">
        <f>THG!AH42/THG!AH$6</f>
        <v>7.747052407403197E-3</v>
      </c>
      <c r="AI42" s="30">
        <f>THG!AI42/THG!AI$6</f>
        <v>7.5404598224753068E-3</v>
      </c>
      <c r="AJ42" s="30">
        <f>THG!AJ42/THG!AJ$6</f>
        <v>8.1383766405982508E-3</v>
      </c>
      <c r="AK42" s="30">
        <f>THG!AK42/THG!AK$6</f>
        <v>8.1218181989743E-3</v>
      </c>
      <c r="AL42" s="30">
        <f>THG!AL42/THG!AL$6</f>
        <v>7.8960616272847964E-3</v>
      </c>
    </row>
    <row r="43" spans="2:38" s="149" customFormat="1" ht="18.75" customHeight="1">
      <c r="B43" s="18" t="s">
        <v>19</v>
      </c>
      <c r="C43" s="33">
        <f>THG!C43/THG!C$6</f>
        <v>2.9678735473171087E-2</v>
      </c>
      <c r="D43" s="33">
        <f>THG!D43/THG!D$6</f>
        <v>3.2595118227022088E-2</v>
      </c>
      <c r="E43" s="33">
        <f>THG!E43/THG!E$6</f>
        <v>3.4774538280014422E-2</v>
      </c>
      <c r="F43" s="33">
        <f>THG!F43/THG!F$6</f>
        <v>3.4962863345154603E-2</v>
      </c>
      <c r="G43" s="33">
        <f>THG!G43/THG!G$6</f>
        <v>3.4676636425026303E-2</v>
      </c>
      <c r="H43" s="33">
        <f>THG!H43/THG!H$6</f>
        <v>3.3698628011975186E-2</v>
      </c>
      <c r="I43" s="33">
        <f>THG!I43/THG!I$6</f>
        <v>3.1626053636995652E-2</v>
      </c>
      <c r="J43" s="33">
        <f>THG!J43/THG!J$6</f>
        <v>2.9681912884863909E-2</v>
      </c>
      <c r="K43" s="33">
        <f>THG!K43/THG!K$6</f>
        <v>2.8049661486908312E-2</v>
      </c>
      <c r="L43" s="33">
        <f>THG!L43/THG!L$6</f>
        <v>2.7003109139093647E-2</v>
      </c>
      <c r="M43" s="33">
        <f>THG!M43/THG!M$6</f>
        <v>2.5188499361202314E-2</v>
      </c>
      <c r="N43" s="33">
        <f>THG!N43/THG!N$6</f>
        <v>2.294851678138797E-2</v>
      </c>
      <c r="O43" s="33">
        <f>THG!O43/THG!O$6</f>
        <v>2.1645900615811117E-2</v>
      </c>
      <c r="P43" s="33">
        <f>THG!P43/THG!P$6</f>
        <v>2.0055723137339141E-2</v>
      </c>
      <c r="Q43" s="33">
        <f>THG!Q43/THG!Q$6</f>
        <v>1.790255053103541E-2</v>
      </c>
      <c r="R43" s="33">
        <f>THG!R43/THG!R$6</f>
        <v>1.6543442542760769E-2</v>
      </c>
      <c r="S43" s="33">
        <f>THG!S43/THG!S$6</f>
        <v>1.448224587613189E-2</v>
      </c>
      <c r="T43" s="33">
        <f>THG!T43/THG!T$6</f>
        <v>1.3460626760539426E-2</v>
      </c>
      <c r="U43" s="33">
        <f>THG!U43/THG!U$6</f>
        <v>1.2035769246171299E-2</v>
      </c>
      <c r="V43" s="33">
        <f>THG!V43/THG!V$6</f>
        <v>1.1353071734762426E-2</v>
      </c>
      <c r="W43" s="33">
        <f>THG!W43/THG!W$6</f>
        <v>9.6599932745277135E-3</v>
      </c>
      <c r="X43" s="33">
        <f>THG!X43/THG!X$6</f>
        <v>8.8887096894564796E-3</v>
      </c>
      <c r="Y43" s="33">
        <f>THG!Y43/THG!Y$6</f>
        <v>7.8884087505944906E-3</v>
      </c>
      <c r="Z43" s="33">
        <f>THG!Z43/THG!Z$6</f>
        <v>6.9092218570560764E-3</v>
      </c>
      <c r="AA43" s="33">
        <f>THG!AA43/THG!AA$6</f>
        <v>6.4749884576772521E-3</v>
      </c>
      <c r="AB43" s="33">
        <f>THG!AB43/THG!AB$6</f>
        <v>5.7776667476487961E-3</v>
      </c>
      <c r="AC43" s="33">
        <f>THG!AC43/THG!AC$6</f>
        <v>5.1802313640410495E-3</v>
      </c>
      <c r="AD43" s="33">
        <f>THG!AD43/THG!AD$6</f>
        <v>4.8338461282328759E-3</v>
      </c>
      <c r="AE43" s="33">
        <f>THG!AE43/THG!AE$6</f>
        <v>4.6399501218689449E-3</v>
      </c>
      <c r="AF43" s="33">
        <f>THG!AF43/THG!AF$6</f>
        <v>4.2941375057686795E-3</v>
      </c>
      <c r="AG43" s="33">
        <f>THG!AG43/THG!AG$6</f>
        <v>4.0673165160149032E-3</v>
      </c>
      <c r="AH43" s="33">
        <f>THG!AH43/THG!AH$6</f>
        <v>3.5207187100458606E-3</v>
      </c>
      <c r="AI43" s="33">
        <f>THG!AI43/THG!AI$6</f>
        <v>3.2457090316032867E-3</v>
      </c>
      <c r="AJ43" s="33">
        <f>THG!AJ43/THG!AJ$6</f>
        <v>3.2914444822757334E-3</v>
      </c>
      <c r="AK43" s="33">
        <f>THG!AK43/THG!AK$6</f>
        <v>3.0736375645052179E-3</v>
      </c>
      <c r="AL43" s="33">
        <f>THG!AL43/THG!AL$6</f>
        <v>2.8448064606773479E-3</v>
      </c>
    </row>
    <row r="44" spans="2:38" s="149" customFormat="1" ht="18.75" customHeight="1">
      <c r="B44" s="89" t="s">
        <v>71</v>
      </c>
      <c r="C44" s="91">
        <f>THG!C44/THG!C$6</f>
        <v>6.3090346841810027E-5</v>
      </c>
      <c r="D44" s="91">
        <f>THG!D44/THG!D$6</f>
        <v>7.8252044672158681E-5</v>
      </c>
      <c r="E44" s="91">
        <f>THG!E44/THG!E$6</f>
        <v>9.4773085886108713E-5</v>
      </c>
      <c r="F44" s="91">
        <f>THG!F44/THG!F$6</f>
        <v>1.0891540334792896E-4</v>
      </c>
      <c r="G44" s="91">
        <f>THG!G44/THG!G$6</f>
        <v>1.7456317942008431E-4</v>
      </c>
      <c r="H44" s="91">
        <f>THG!H44/THG!H$6</f>
        <v>2.4008232106754302E-4</v>
      </c>
      <c r="I44" s="91">
        <f>THG!I44/THG!I$6</f>
        <v>2.9996536779042455E-4</v>
      </c>
      <c r="J44" s="91">
        <f>THG!J44/THG!J$6</f>
        <v>3.4075717721882183E-4</v>
      </c>
      <c r="K44" s="91">
        <f>THG!K44/THG!K$6</f>
        <v>3.8412365257913146E-4</v>
      </c>
      <c r="L44" s="91">
        <f>THG!L44/THG!L$6</f>
        <v>4.6035353026386845E-4</v>
      </c>
      <c r="M44" s="91">
        <f>THG!M44/THG!M$6</f>
        <v>5.3108562578578196E-4</v>
      </c>
      <c r="N44" s="91">
        <f>THG!N44/THG!N$6</f>
        <v>5.3572604619420215E-4</v>
      </c>
      <c r="O44" s="91">
        <f>THG!O44/THG!O$6</f>
        <v>6.5318718417714365E-4</v>
      </c>
      <c r="P44" s="91">
        <f>THG!P44/THG!P$6</f>
        <v>6.6342821464906629E-4</v>
      </c>
      <c r="Q44" s="91">
        <f>THG!Q44/THG!Q$6</f>
        <v>6.9128007728161032E-4</v>
      </c>
      <c r="R44" s="91">
        <f>THG!R44/THG!R$6</f>
        <v>6.99126658844733E-4</v>
      </c>
      <c r="S44" s="91">
        <f>THG!S44/THG!S$6</f>
        <v>7.0329781313781693E-4</v>
      </c>
      <c r="T44" s="91">
        <f>THG!T44/THG!T$6</f>
        <v>7.8262353388335059E-4</v>
      </c>
      <c r="U44" s="91">
        <f>THG!U44/THG!U$6</f>
        <v>7.7013787681764101E-4</v>
      </c>
      <c r="V44" s="91">
        <f>THG!V44/THG!V$6</f>
        <v>8.4623335521461884E-4</v>
      </c>
      <c r="W44" s="91">
        <f>THG!W44/THG!W$6</f>
        <v>8.1207931687969236E-4</v>
      </c>
      <c r="X44" s="91">
        <f>THG!X44/THG!X$6</f>
        <v>9.3527511003722635E-4</v>
      </c>
      <c r="Y44" s="91">
        <f>THG!Y44/THG!Y$6</f>
        <v>9.6531946763593049E-4</v>
      </c>
      <c r="Z44" s="91">
        <f>THG!Z44/THG!Z$6</f>
        <v>9.3845088828862003E-4</v>
      </c>
      <c r="AA44" s="91">
        <f>THG!AA44/THG!AA$6</f>
        <v>1.0622801717206935E-3</v>
      </c>
      <c r="AB44" s="91">
        <f>THG!AB44/THG!AB$6</f>
        <v>1.0603454607332522E-3</v>
      </c>
      <c r="AC44" s="91">
        <f>THG!AC44/THG!AC$6</f>
        <v>1.0870806525959897E-3</v>
      </c>
      <c r="AD44" s="91">
        <f>THG!AD44/THG!AD$6</f>
        <v>1.1201771716529412E-3</v>
      </c>
      <c r="AE44" s="91">
        <f>THG!AE44/THG!AE$6</f>
        <v>1.1331685629128805E-3</v>
      </c>
      <c r="AF44" s="91">
        <f>THG!AF44/THG!AF$6</f>
        <v>1.229869650680774E-3</v>
      </c>
      <c r="AG44" s="91">
        <f>THG!AG44/THG!AG$6</f>
        <v>1.3403269199848764E-3</v>
      </c>
      <c r="AH44" s="91">
        <f>THG!AH44/THG!AH$6</f>
        <v>1.3871750304682616E-3</v>
      </c>
      <c r="AI44" s="91">
        <f>THG!AI44/THG!AI$6</f>
        <v>1.4131699313770783E-3</v>
      </c>
      <c r="AJ44" s="91">
        <f>THG!AJ44/THG!AJ$6</f>
        <v>1.6120507938043815E-3</v>
      </c>
      <c r="AK44" s="91">
        <f>THG!AK44/THG!AK$6</f>
        <v>1.7123176080242591E-3</v>
      </c>
      <c r="AL44" s="91">
        <f>THG!AL44/THG!AL$6</f>
        <v>1.7147002553257341E-3</v>
      </c>
    </row>
    <row r="45" spans="2:38" s="149" customFormat="1" ht="18.75" customHeight="1">
      <c r="B45" s="18" t="s">
        <v>20</v>
      </c>
      <c r="C45" s="33">
        <f>THG!C45/THG!C$6</f>
        <v>3.4153703483339303E-3</v>
      </c>
      <c r="D45" s="33">
        <f>THG!D45/THG!D$6</f>
        <v>3.0499898021583609E-3</v>
      </c>
      <c r="E45" s="33">
        <f>THG!E45/THG!E$6</f>
        <v>2.8607577651264841E-3</v>
      </c>
      <c r="F45" s="33">
        <f>THG!F45/THG!F$6</f>
        <v>2.726438469196504E-3</v>
      </c>
      <c r="G45" s="33">
        <f>THG!G45/THG!G$6</f>
        <v>2.5836217095176368E-3</v>
      </c>
      <c r="H45" s="33">
        <f>THG!H45/THG!H$6</f>
        <v>2.6057604769336856E-3</v>
      </c>
      <c r="I45" s="33">
        <f>THG!I45/THG!I$6</f>
        <v>2.4958620784137804E-3</v>
      </c>
      <c r="J45" s="33">
        <f>THG!J45/THG!J$6</f>
        <v>2.4999981006058117E-3</v>
      </c>
      <c r="K45" s="33">
        <f>THG!K45/THG!K$6</f>
        <v>2.480350522590791E-3</v>
      </c>
      <c r="L45" s="33">
        <f>THG!L45/THG!L$6</f>
        <v>2.5562519901627316E-3</v>
      </c>
      <c r="M45" s="33">
        <f>THG!M45/THG!M$6</f>
        <v>2.5560217954679332E-3</v>
      </c>
      <c r="N45" s="33">
        <f>THG!N45/THG!N$6</f>
        <v>2.5104985475848164E-3</v>
      </c>
      <c r="O45" s="33">
        <f>THG!O45/THG!O$6</f>
        <v>2.5310679916652977E-3</v>
      </c>
      <c r="P45" s="33">
        <f>THG!P45/THG!P$6</f>
        <v>2.5161243135654416E-3</v>
      </c>
      <c r="Q45" s="33">
        <f>THG!Q45/THG!Q$6</f>
        <v>2.5365811097529914E-3</v>
      </c>
      <c r="R45" s="33">
        <f>THG!R45/THG!R$6</f>
        <v>2.5676528136731529E-3</v>
      </c>
      <c r="S45" s="33">
        <f>THG!S45/THG!S$6</f>
        <v>2.5049328015603542E-3</v>
      </c>
      <c r="T45" s="33">
        <f>THG!T45/THG!T$6</f>
        <v>2.5743335708842269E-3</v>
      </c>
      <c r="U45" s="33">
        <f>THG!U45/THG!U$6</f>
        <v>2.536836544261459E-3</v>
      </c>
      <c r="V45" s="33">
        <f>THG!V45/THG!V$6</f>
        <v>2.6795398064411494E-3</v>
      </c>
      <c r="W45" s="33">
        <f>THG!W45/THG!W$6</f>
        <v>2.552909187986938E-3</v>
      </c>
      <c r="X45" s="33">
        <f>THG!X45/THG!X$6</f>
        <v>2.5933010615357141E-3</v>
      </c>
      <c r="Y45" s="33">
        <f>THG!Y45/THG!Y$6</f>
        <v>2.538542199749934E-3</v>
      </c>
      <c r="Z45" s="33">
        <f>THG!Z45/THG!Z$6</f>
        <v>2.4567523127612444E-3</v>
      </c>
      <c r="AA45" s="33">
        <f>THG!AA45/THG!AA$6</f>
        <v>2.5444393809665004E-3</v>
      </c>
      <c r="AB45" s="33">
        <f>THG!AB45/THG!AB$6</f>
        <v>2.5182370472810983E-3</v>
      </c>
      <c r="AC45" s="33">
        <f>THG!AC45/THG!AC$6</f>
        <v>2.4863335914799291E-3</v>
      </c>
      <c r="AD45" s="33">
        <f>THG!AD45/THG!AD$6</f>
        <v>2.4996690158543456E-3</v>
      </c>
      <c r="AE45" s="33">
        <f>THG!AE45/THG!AE$6</f>
        <v>2.5764280528469494E-3</v>
      </c>
      <c r="AF45" s="33">
        <f>THG!AF45/THG!AF$6</f>
        <v>2.7134831229403814E-3</v>
      </c>
      <c r="AG45" s="33">
        <f>THG!AG45/THG!AG$6</f>
        <v>2.9182555036725709E-3</v>
      </c>
      <c r="AH45" s="33">
        <f>THG!AH45/THG!AH$6</f>
        <v>2.7979144132292111E-3</v>
      </c>
      <c r="AI45" s="33">
        <f>THG!AI45/THG!AI$6</f>
        <v>2.8414065425109479E-3</v>
      </c>
      <c r="AJ45" s="33">
        <f>THG!AJ45/THG!AJ$6</f>
        <v>3.1913008651725714E-3</v>
      </c>
      <c r="AK45" s="33">
        <f>THG!AK45/THG!AK$6</f>
        <v>3.2923709096709603E-3</v>
      </c>
      <c r="AL45" s="33">
        <f>THG!AL45/THG!AL$6</f>
        <v>3.2944212235611766E-3</v>
      </c>
    </row>
    <row r="46" spans="2:38" s="149" customFormat="1" ht="18.75" customHeight="1">
      <c r="B46" s="89" t="s">
        <v>28</v>
      </c>
      <c r="C46" s="91">
        <f>THG!C46/THG!C$6</f>
        <v>0</v>
      </c>
      <c r="D46" s="91">
        <f>THG!D46/THG!D$6</f>
        <v>0</v>
      </c>
      <c r="E46" s="91">
        <f>THG!E46/THG!E$6</f>
        <v>0</v>
      </c>
      <c r="F46" s="91">
        <f>THG!F46/THG!F$6</f>
        <v>0</v>
      </c>
      <c r="G46" s="91">
        <f>THG!G46/THG!G$6</f>
        <v>0</v>
      </c>
      <c r="H46" s="91">
        <f>THG!H46/THG!H$6</f>
        <v>9.2988135265873157E-6</v>
      </c>
      <c r="I46" s="91">
        <f>THG!I46/THG!I$6</f>
        <v>1.9029482040567076E-5</v>
      </c>
      <c r="J46" s="91">
        <f>THG!J46/THG!J$6</f>
        <v>3.0551699746960278E-5</v>
      </c>
      <c r="K46" s="91">
        <f>THG!K46/THG!K$6</f>
        <v>4.3161354728182045E-5</v>
      </c>
      <c r="L46" s="91">
        <f>THG!L46/THG!L$6</f>
        <v>5.7653402167314836E-5</v>
      </c>
      <c r="M46" s="91">
        <f>THG!M46/THG!M$6</f>
        <v>7.771105008237461E-5</v>
      </c>
      <c r="N46" s="91">
        <f>THG!N46/THG!N$6</f>
        <v>8.5365253389896556E-5</v>
      </c>
      <c r="O46" s="91">
        <f>THG!O46/THG!O$6</f>
        <v>1.0385371447933949E-4</v>
      </c>
      <c r="P46" s="91">
        <f>THG!P46/THG!P$6</f>
        <v>1.139374187515098E-4</v>
      </c>
      <c r="Q46" s="91">
        <f>THG!Q46/THG!Q$6</f>
        <v>1.3180347251051685E-4</v>
      </c>
      <c r="R46" s="91">
        <f>THG!R46/THG!R$6</f>
        <v>2.4206439382054874E-4</v>
      </c>
      <c r="S46" s="91">
        <f>THG!S46/THG!S$6</f>
        <v>3.2406147834577568E-5</v>
      </c>
      <c r="T46" s="91">
        <f>THG!T46/THG!T$6</f>
        <v>3.4077955901361049E-5</v>
      </c>
      <c r="U46" s="91">
        <f>THG!U46/THG!U$6</f>
        <v>3.5931819861043142E-5</v>
      </c>
      <c r="V46" s="91">
        <f>THG!V46/THG!V$6</f>
        <v>3.9294211054348166E-5</v>
      </c>
      <c r="W46" s="91">
        <f>THG!W46/THG!W$6</f>
        <v>3.899119963580594E-5</v>
      </c>
      <c r="X46" s="91">
        <f>THG!X46/THG!X$6</f>
        <v>4.318400390330201E-5</v>
      </c>
      <c r="Y46" s="91">
        <f>THG!Y46/THG!Y$6</f>
        <v>4.0747852745958273E-5</v>
      </c>
      <c r="Z46" s="91">
        <f>THG!Z46/THG!Z$6</f>
        <v>3.8971029882662375E-5</v>
      </c>
      <c r="AA46" s="91">
        <f>THG!AA46/THG!AA$6</f>
        <v>4.117057444592403E-5</v>
      </c>
      <c r="AB46" s="91">
        <f>THG!AB46/THG!AB$6</f>
        <v>3.9948510477555373E-5</v>
      </c>
      <c r="AC46" s="91">
        <f>THG!AC46/THG!AC$6</f>
        <v>3.8468998741083906E-5</v>
      </c>
      <c r="AD46" s="91">
        <f>THG!AD46/THG!AD$6</f>
        <v>3.778787275221091E-5</v>
      </c>
      <c r="AE46" s="91">
        <f>THG!AE46/THG!AE$6</f>
        <v>3.8856580676790298E-5</v>
      </c>
      <c r="AF46" s="91">
        <f>THG!AF46/THG!AF$6</f>
        <v>4.1105320284201796E-5</v>
      </c>
      <c r="AG46" s="91">
        <f>THG!AG46/THG!AG$6</f>
        <v>4.4096774515342018E-5</v>
      </c>
      <c r="AH46" s="91">
        <f>THG!AH46/THG!AH$6</f>
        <v>4.1244253659864604E-5</v>
      </c>
      <c r="AI46" s="91">
        <f>THG!AI46/THG!AI$6</f>
        <v>4.0174316983995169E-5</v>
      </c>
      <c r="AJ46" s="91">
        <f>THG!AJ46/THG!AJ$6</f>
        <v>4.3580499345565466E-5</v>
      </c>
      <c r="AK46" s="91">
        <f>THG!AK46/THG!AK$6</f>
        <v>4.3492116773863064E-5</v>
      </c>
      <c r="AL46" s="91">
        <f>THG!AL46/THG!AL$6</f>
        <v>4.213368772053844E-5</v>
      </c>
    </row>
    <row r="47" spans="2:38" ht="19.5" customHeight="1">
      <c r="B47" s="7"/>
    </row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966-5D90-49DE-9432-01BBF20F4DC6}">
  <sheetPr>
    <tabColor theme="5"/>
  </sheetPr>
  <dimension ref="B1:AR20"/>
  <sheetViews>
    <sheetView showGridLines="0" zoomScale="85" zoomScaleNormal="85" zoomScalePageLayoutView="150" workbookViewId="0">
      <pane xSplit="3" ySplit="10" topLeftCell="X11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120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52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51</v>
      </c>
      <c r="C5" s="94" t="s">
        <v>63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50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66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8.75" customHeight="1">
      <c r="B11" s="116" t="str">
        <f>THG!B27</f>
        <v>CRF 1.A.3.a - nationaler Luftverkehr</v>
      </c>
      <c r="C11" s="14" t="s">
        <v>61</v>
      </c>
      <c r="D11" s="99">
        <f>(THG!C27)/1000</f>
        <v>2.3346458095547824</v>
      </c>
      <c r="E11" s="99">
        <f>(THG!D27)/1000</f>
        <v>2.2510227529915969</v>
      </c>
      <c r="F11" s="99">
        <f>(THG!E27)/1000</f>
        <v>2.2877074702453695</v>
      </c>
      <c r="G11" s="99">
        <f>(THG!F27)/1000</f>
        <v>2.2005114838881084</v>
      </c>
      <c r="H11" s="99">
        <f>(THG!G27)/1000</f>
        <v>2.1821496311506681</v>
      </c>
      <c r="I11" s="99">
        <f>(THG!H27)/1000</f>
        <v>2.289680403282536</v>
      </c>
      <c r="J11" s="99">
        <f>(THG!I27)/1000</f>
        <v>2.204529636250133</v>
      </c>
      <c r="K11" s="99">
        <f>(THG!J27)/1000</f>
        <v>2.3159964398188464</v>
      </c>
      <c r="L11" s="99">
        <f>(THG!K27)/1000</f>
        <v>2.3272260609315003</v>
      </c>
      <c r="M11" s="99">
        <f>(THG!L27)/1000</f>
        <v>2.3695647600722038</v>
      </c>
      <c r="N11" s="99">
        <f>(THG!M27)/1000</f>
        <v>2.4924328577868509</v>
      </c>
      <c r="O11" s="99">
        <f>(THG!N27)/1000</f>
        <v>2.4086115141749787</v>
      </c>
      <c r="P11" s="99">
        <f>(THG!O27)/1000</f>
        <v>2.2975494897850011</v>
      </c>
      <c r="Q11" s="99">
        <f>(THG!P27)/1000</f>
        <v>2.2845192847901821</v>
      </c>
      <c r="R11" s="99">
        <f>(THG!Q27)/1000</f>
        <v>2.2560612491434764</v>
      </c>
      <c r="S11" s="99">
        <f>(THG!R27)/1000</f>
        <v>2.2823314946031097</v>
      </c>
      <c r="T11" s="99">
        <f>(THG!S27)/1000</f>
        <v>2.3361156872549156</v>
      </c>
      <c r="U11" s="99">
        <f>(THG!T27)/1000</f>
        <v>2.4057976742390332</v>
      </c>
      <c r="V11" s="99">
        <f>(THG!U27)/1000</f>
        <v>2.4302540215437931</v>
      </c>
      <c r="W11" s="99">
        <f>(THG!V27)/1000</f>
        <v>2.2826235047041519</v>
      </c>
      <c r="X11" s="99">
        <f>(THG!W27)/1000</f>
        <v>2.2704605550016885</v>
      </c>
      <c r="Y11" s="99">
        <f>(THG!X27)/1000</f>
        <v>2.2930226056708745</v>
      </c>
      <c r="Z11" s="99">
        <f>(THG!Y27)/1000</f>
        <v>2.1796913233801782</v>
      </c>
      <c r="AA11" s="99">
        <f>(THG!Z27)/1000</f>
        <v>1.969858830300443</v>
      </c>
      <c r="AB11" s="99">
        <f>(THG!AA27)/1000</f>
        <v>1.9917016712387188</v>
      </c>
      <c r="AC11" s="99">
        <f>(THG!AB27)/1000</f>
        <v>2.0781810205713374</v>
      </c>
      <c r="AD11" s="99">
        <f>(THG!AC27)/1000</f>
        <v>2.0852528005973023</v>
      </c>
      <c r="AE11" s="99">
        <f>(THG!AD27)/1000</f>
        <v>2.0222764722346493</v>
      </c>
      <c r="AF11" s="99">
        <f>(THG!AE27)/1000</f>
        <v>2.0144854211746579</v>
      </c>
      <c r="AG11" s="99">
        <f>(THG!AF27)/1000</f>
        <v>2.0758149970730675</v>
      </c>
      <c r="AH11" s="170">
        <f>(THG!AG27)/1000</f>
        <v>0.93009604764647646</v>
      </c>
      <c r="AI11" s="170">
        <f>(THG!AH27)/1000</f>
        <v>0.71797319564854811</v>
      </c>
      <c r="AJ11" s="170">
        <f>(THG!AI27)/1000</f>
        <v>1.0425291174112103</v>
      </c>
      <c r="AK11" s="170">
        <f>(THG!AJ27)/1000</f>
        <v>1.09381527945309</v>
      </c>
      <c r="AL11" s="170">
        <f>(THG!AK27)/1000</f>
        <v>1.0985376850927084</v>
      </c>
      <c r="AM11" s="170">
        <f>(THG!AL27)/1000</f>
        <v>1.1047714534200626</v>
      </c>
      <c r="AN11" s="28"/>
      <c r="AO11" s="28"/>
      <c r="AP11" s="28"/>
      <c r="AQ11" s="28"/>
      <c r="AR11" s="28"/>
    </row>
    <row r="12" spans="2:44" ht="18.75" customHeight="1">
      <c r="B12" s="117" t="str">
        <f>THG!B28</f>
        <v>CRF 1.A.3.b - Straßenverkehr</v>
      </c>
      <c r="C12" s="88" t="s">
        <v>61</v>
      </c>
      <c r="D12" s="100">
        <f>(THG!C28)/1000</f>
        <v>154.82600260694841</v>
      </c>
      <c r="E12" s="100">
        <f>(THG!D28)/1000</f>
        <v>158.31632468870467</v>
      </c>
      <c r="F12" s="100">
        <f>(THG!E28)/1000</f>
        <v>164.13519623766479</v>
      </c>
      <c r="G12" s="100">
        <f>(THG!F28)/1000</f>
        <v>168.57506089556409</v>
      </c>
      <c r="H12" s="100">
        <f>(THG!G28)/1000</f>
        <v>164.81080257761843</v>
      </c>
      <c r="I12" s="100">
        <f>(THG!H28)/1000</f>
        <v>168.90064679703698</v>
      </c>
      <c r="J12" s="100">
        <f>(THG!I28)/1000</f>
        <v>168.87221447568632</v>
      </c>
      <c r="K12" s="100">
        <f>(THG!J28)/1000</f>
        <v>169.68691142530071</v>
      </c>
      <c r="L12" s="100">
        <f>(THG!K28)/1000</f>
        <v>173.05277841076102</v>
      </c>
      <c r="M12" s="100">
        <f>(THG!L28)/1000</f>
        <v>178.4946890202668</v>
      </c>
      <c r="N12" s="100">
        <f>(THG!M28)/1000</f>
        <v>174.49878289643303</v>
      </c>
      <c r="O12" s="100">
        <f>(THG!N28)/1000</f>
        <v>170.86600688200241</v>
      </c>
      <c r="P12" s="100">
        <f>(THG!O28)/1000</f>
        <v>168.67177456865312</v>
      </c>
      <c r="Q12" s="100">
        <f>(THG!P28)/1000</f>
        <v>161.63728514688816</v>
      </c>
      <c r="R12" s="100">
        <f>(THG!Q28)/1000</f>
        <v>161.55538505933004</v>
      </c>
      <c r="S12" s="100">
        <f>(THG!R28)/1000</f>
        <v>154.86182347564727</v>
      </c>
      <c r="T12" s="100">
        <f>(THG!S28)/1000</f>
        <v>156.11922893186932</v>
      </c>
      <c r="U12" s="100">
        <f>(THG!T28)/1000</f>
        <v>146.48254449330625</v>
      </c>
      <c r="V12" s="100">
        <f>(THG!U28)/1000</f>
        <v>145.84693277305456</v>
      </c>
      <c r="W12" s="100">
        <f>(THG!V28)/1000</f>
        <v>146.0765045204223</v>
      </c>
      <c r="X12" s="100">
        <f>(THG!W28)/1000</f>
        <v>146.57622316717951</v>
      </c>
      <c r="Y12" s="100">
        <f>(THG!X28)/1000</f>
        <v>148.3277234923882</v>
      </c>
      <c r="Z12" s="100">
        <f>(THG!Y28)/1000</f>
        <v>147.00157382709727</v>
      </c>
      <c r="AA12" s="100">
        <f>(THG!Z28)/1000</f>
        <v>151.14446116831536</v>
      </c>
      <c r="AB12" s="100">
        <f>(THG!AA28)/1000</f>
        <v>152.80938861302022</v>
      </c>
      <c r="AC12" s="100">
        <f>(THG!AB28)/1000</f>
        <v>156.11518272084891</v>
      </c>
      <c r="AD12" s="100">
        <f>(THG!AC28)/1000</f>
        <v>158.95219975189741</v>
      </c>
      <c r="AE12" s="100">
        <f>(THG!AD28)/1000</f>
        <v>162.58022182480062</v>
      </c>
      <c r="AF12" s="100">
        <f>(THG!AE28)/1000</f>
        <v>158.03467131343041</v>
      </c>
      <c r="AG12" s="100">
        <f>(THG!AF28)/1000</f>
        <v>158.85780726304276</v>
      </c>
      <c r="AH12" s="171">
        <f>(THG!AG28)/1000</f>
        <v>142.41459286425416</v>
      </c>
      <c r="AI12" s="171">
        <f>(THG!AH28)/1000</f>
        <v>143.6548802164375</v>
      </c>
      <c r="AJ12" s="171">
        <f>(THG!AI28)/1000</f>
        <v>144.89502126100399</v>
      </c>
      <c r="AK12" s="171">
        <f>(THG!AJ28)/1000</f>
        <v>141.24380674320236</v>
      </c>
      <c r="AL12" s="171">
        <f>(THG!AK28)/1000</f>
        <v>140.90782404188246</v>
      </c>
      <c r="AM12" s="171">
        <f>(THG!AL28)/1000</f>
        <v>143.04247221282455</v>
      </c>
      <c r="AN12" s="90"/>
      <c r="AO12" s="90"/>
      <c r="AP12" s="90"/>
      <c r="AQ12" s="90"/>
      <c r="AR12" s="90"/>
    </row>
    <row r="13" spans="2:44" ht="18.75" customHeight="1">
      <c r="B13" s="118" t="str">
        <f>THG!B29</f>
        <v>CRF 1.A.3.c - Schienenverkehr</v>
      </c>
      <c r="C13" s="101" t="s">
        <v>61</v>
      </c>
      <c r="D13" s="99">
        <f>(THG!C29)/1000</f>
        <v>3.1596200310567939</v>
      </c>
      <c r="E13" s="99">
        <f>(THG!D29)/1000</f>
        <v>2.8182669923203476</v>
      </c>
      <c r="F13" s="99">
        <f>(THG!E29)/1000</f>
        <v>2.766004240229166</v>
      </c>
      <c r="G13" s="99">
        <f>(THG!F29)/1000</f>
        <v>2.7536233399314902</v>
      </c>
      <c r="H13" s="99">
        <f>(THG!G29)/1000</f>
        <v>2.5609828370232086</v>
      </c>
      <c r="I13" s="99">
        <f>(THG!H29)/1000</f>
        <v>2.4768838392203674</v>
      </c>
      <c r="J13" s="99">
        <f>(THG!I29)/1000</f>
        <v>2.3542167712630016</v>
      </c>
      <c r="K13" s="99">
        <f>(THG!J29)/1000</f>
        <v>2.1728592472367656</v>
      </c>
      <c r="L13" s="99">
        <f>(THG!K29)/1000</f>
        <v>2.0508924559221566</v>
      </c>
      <c r="M13" s="99">
        <f>(THG!L29)/1000</f>
        <v>1.9379335852140169</v>
      </c>
      <c r="N13" s="99">
        <f>(THG!M29)/1000</f>
        <v>1.953927567792767</v>
      </c>
      <c r="O13" s="99">
        <f>(THG!N29)/1000</f>
        <v>1.7909117407380999</v>
      </c>
      <c r="P13" s="99">
        <f>(THG!O29)/1000</f>
        <v>1.6588442536026915</v>
      </c>
      <c r="Q13" s="99">
        <f>(THG!P29)/1000</f>
        <v>1.6277467627228501</v>
      </c>
      <c r="R13" s="99">
        <f>(THG!Q29)/1000</f>
        <v>1.537561424317305</v>
      </c>
      <c r="S13" s="99">
        <f>(THG!R29)/1000</f>
        <v>1.4296238741793472</v>
      </c>
      <c r="T13" s="99">
        <f>(THG!S29)/1000</f>
        <v>1.2921260348604133</v>
      </c>
      <c r="U13" s="99">
        <f>(THG!T29)/1000</f>
        <v>1.2492261396697677</v>
      </c>
      <c r="V13" s="99">
        <f>(THG!U29)/1000</f>
        <v>1.2163692937409272</v>
      </c>
      <c r="W13" s="99">
        <f>(THG!V29)/1000</f>
        <v>1.099939917238332</v>
      </c>
      <c r="X13" s="99">
        <f>(THG!W29)/1000</f>
        <v>1.1208051130835088</v>
      </c>
      <c r="Y13" s="99">
        <f>(THG!X29)/1000</f>
        <v>1.1321180374985189</v>
      </c>
      <c r="Z13" s="99">
        <f>(THG!Y29)/1000</f>
        <v>1.0422031375197303</v>
      </c>
      <c r="AA13" s="99">
        <f>(THG!Z29)/1000</f>
        <v>1.0601188258916354</v>
      </c>
      <c r="AB13" s="99">
        <f>(THG!AA29)/1000</f>
        <v>0.94842688143698961</v>
      </c>
      <c r="AC13" s="99">
        <f>(THG!AB29)/1000</f>
        <v>1.024479147751151</v>
      </c>
      <c r="AD13" s="99">
        <f>(THG!AC29)/1000</f>
        <v>1.0592658320002573</v>
      </c>
      <c r="AE13" s="99">
        <f>(THG!AD29)/1000</f>
        <v>0.87878538992439481</v>
      </c>
      <c r="AF13" s="99">
        <f>(THG!AE29)/1000</f>
        <v>0.73589169370911822</v>
      </c>
      <c r="AG13" s="99">
        <f>(THG!AF29)/1000</f>
        <v>0.83413196599139261</v>
      </c>
      <c r="AH13" s="170">
        <f>(THG!AG29)/1000</f>
        <v>0.83262014456158884</v>
      </c>
      <c r="AI13" s="170">
        <f>(THG!AH29)/1000</f>
        <v>0.85550885362341123</v>
      </c>
      <c r="AJ13" s="170">
        <f>(THG!AI29)/1000</f>
        <v>0.81169380586988815</v>
      </c>
      <c r="AK13" s="170">
        <f>(THG!AJ29)/1000</f>
        <v>0.7785316087317683</v>
      </c>
      <c r="AL13" s="170">
        <f>(THG!AK29)/1000</f>
        <v>0.74489312385874451</v>
      </c>
      <c r="AM13" s="170">
        <f>(THG!AL29)/1000</f>
        <v>0.74178235890750688</v>
      </c>
      <c r="AN13" s="28"/>
      <c r="AO13" s="28"/>
      <c r="AP13" s="28"/>
      <c r="AQ13" s="28"/>
      <c r="AR13" s="28"/>
    </row>
    <row r="14" spans="2:44" ht="37.5" customHeight="1">
      <c r="B14" s="117" t="str">
        <f>THG!B30</f>
        <v>CRF 1.A.3.d - Küsten- &amp; Binnenschifffahrt</v>
      </c>
      <c r="C14" s="88" t="s">
        <v>61</v>
      </c>
      <c r="D14" s="100">
        <f>(THG!C30)/1000</f>
        <v>3.0350977200431699</v>
      </c>
      <c r="E14" s="100">
        <f>(THG!D30)/1000</f>
        <v>2.9176231880105026</v>
      </c>
      <c r="F14" s="100">
        <f>(THG!E30)/1000</f>
        <v>2.9790199349019351</v>
      </c>
      <c r="G14" s="100">
        <f>(THG!F30)/1000</f>
        <v>2.9636688282034682</v>
      </c>
      <c r="H14" s="100">
        <f>(THG!G30)/1000</f>
        <v>2.9092835547146398</v>
      </c>
      <c r="I14" s="100">
        <f>(THG!H30)/1000</f>
        <v>2.4552706446638695</v>
      </c>
      <c r="J14" s="100">
        <f>(THG!I30)/1000</f>
        <v>2.2754227085006415</v>
      </c>
      <c r="K14" s="100">
        <f>(THG!J30)/1000</f>
        <v>1.9451644765425888</v>
      </c>
      <c r="L14" s="100">
        <f>(THG!K30)/1000</f>
        <v>1.965639034097157</v>
      </c>
      <c r="M14" s="100">
        <f>(THG!L30)/1000</f>
        <v>1.7274748292249884</v>
      </c>
      <c r="N14" s="100">
        <f>(THG!M30)/1000</f>
        <v>1.6412418786143297</v>
      </c>
      <c r="O14" s="100">
        <f>(THG!N30)/1000</f>
        <v>1.6282415358301758</v>
      </c>
      <c r="P14" s="100">
        <f>(THG!O30)/1000</f>
        <v>1.55514872198326</v>
      </c>
      <c r="Q14" s="100">
        <f>(THG!P30)/1000</f>
        <v>1.891984533757771</v>
      </c>
      <c r="R14" s="100">
        <f>(THG!Q30)/1000</f>
        <v>2.0016861825432994</v>
      </c>
      <c r="S14" s="100">
        <f>(THG!R30)/1000</f>
        <v>2.1267265308166503</v>
      </c>
      <c r="T14" s="100">
        <f>(THG!S30)/1000</f>
        <v>2.133982061874216</v>
      </c>
      <c r="U14" s="100">
        <f>(THG!T30)/1000</f>
        <v>1.9350527936515418</v>
      </c>
      <c r="V14" s="100">
        <f>(THG!U30)/1000</f>
        <v>2.1586637243444318</v>
      </c>
      <c r="W14" s="100">
        <f>(THG!V30)/1000</f>
        <v>1.7968560809655405</v>
      </c>
      <c r="X14" s="100">
        <f>(THG!W30)/1000</f>
        <v>1.9431570470036794</v>
      </c>
      <c r="Y14" s="100">
        <f>(THG!X30)/1000</f>
        <v>1.8080868381566939</v>
      </c>
      <c r="Z14" s="100">
        <f>(THG!Y30)/1000</f>
        <v>1.8627197816694141</v>
      </c>
      <c r="AA14" s="100">
        <f>(THG!Z30)/1000</f>
        <v>1.8586774121890217</v>
      </c>
      <c r="AB14" s="100">
        <f>(THG!AA30)/1000</f>
        <v>1.8880558226168276</v>
      </c>
      <c r="AC14" s="100">
        <f>(THG!AB30)/1000</f>
        <v>1.8725999195328664</v>
      </c>
      <c r="AD14" s="100">
        <f>(THG!AC30)/1000</f>
        <v>1.7956745148254885</v>
      </c>
      <c r="AE14" s="100">
        <f>(THG!AD30)/1000</f>
        <v>1.7980904323370464</v>
      </c>
      <c r="AF14" s="100">
        <f>(THG!AE30)/1000</f>
        <v>1.8522956797163272</v>
      </c>
      <c r="AG14" s="100">
        <f>(THG!AF30)/1000</f>
        <v>1.8547679778981709</v>
      </c>
      <c r="AH14" s="171">
        <f>(THG!AG30)/1000</f>
        <v>1.7178413868597975</v>
      </c>
      <c r="AI14" s="171">
        <f>(THG!AH30)/1000</f>
        <v>1.5839259199941147</v>
      </c>
      <c r="AJ14" s="171">
        <f>(THG!AI30)/1000</f>
        <v>1.3210433279565363</v>
      </c>
      <c r="AK14" s="171">
        <f>(THG!AJ30)/1000</f>
        <v>1.3625740419519889</v>
      </c>
      <c r="AL14" s="171">
        <f>(THG!AK30)/1000</f>
        <v>1.4310723957453957</v>
      </c>
      <c r="AM14" s="171">
        <f>(THG!AL30)/1000</f>
        <v>1.4161297866122111</v>
      </c>
      <c r="AN14" s="90"/>
      <c r="AO14" s="90"/>
      <c r="AP14" s="90"/>
      <c r="AQ14" s="90"/>
      <c r="AR14" s="90"/>
    </row>
    <row r="15" spans="2:44" ht="18.75" customHeight="1">
      <c r="B15" s="5" t="str">
        <f>THG!B26</f>
        <v>4 - Verkehr</v>
      </c>
      <c r="C15" s="19" t="s">
        <v>61</v>
      </c>
      <c r="D15" s="20">
        <f>(THG!C26)/1000</f>
        <v>163.35536616760314</v>
      </c>
      <c r="E15" s="20">
        <f>(THG!D26)/1000</f>
        <v>166.30323762202707</v>
      </c>
      <c r="F15" s="20">
        <f>(THG!E26)/1000</f>
        <v>172.16792788304127</v>
      </c>
      <c r="G15" s="20">
        <f>(THG!F26)/1000</f>
        <v>176.49286454758715</v>
      </c>
      <c r="H15" s="20">
        <f>(THG!G26)/1000</f>
        <v>172.46321860050696</v>
      </c>
      <c r="I15" s="20">
        <f>(THG!H26)/1000</f>
        <v>176.12248168420376</v>
      </c>
      <c r="J15" s="20">
        <f>(THG!I26)/1000</f>
        <v>175.70638359170007</v>
      </c>
      <c r="K15" s="20">
        <f>(THG!J26)/1000</f>
        <v>176.12093158889891</v>
      </c>
      <c r="L15" s="20">
        <f>(THG!K26)/1000</f>
        <v>179.39653596171186</v>
      </c>
      <c r="M15" s="20">
        <f>(THG!L26)/1000</f>
        <v>184.52966219477804</v>
      </c>
      <c r="N15" s="20">
        <f>(THG!M26)/1000</f>
        <v>180.58638520062698</v>
      </c>
      <c r="O15" s="20">
        <f>(THG!N26)/1000</f>
        <v>176.69377167274567</v>
      </c>
      <c r="P15" s="20">
        <f>(THG!O26)/1000</f>
        <v>174.18331703402407</v>
      </c>
      <c r="Q15" s="20">
        <f>(THG!P26)/1000</f>
        <v>167.44153572815895</v>
      </c>
      <c r="R15" s="20">
        <f>(THG!Q26)/1000</f>
        <v>167.35069391533409</v>
      </c>
      <c r="S15" s="20">
        <f>(THG!R26)/1000</f>
        <v>160.70050537524637</v>
      </c>
      <c r="T15" s="20">
        <f>(THG!S26)/1000</f>
        <v>161.88145271585884</v>
      </c>
      <c r="U15" s="20">
        <f>(THG!T26)/1000</f>
        <v>152.0726211008666</v>
      </c>
      <c r="V15" s="20">
        <f>(THG!U26)/1000</f>
        <v>151.65221981268371</v>
      </c>
      <c r="W15" s="20">
        <f>(THG!V26)/1000</f>
        <v>151.25592402333035</v>
      </c>
      <c r="X15" s="20">
        <f>(THG!W26)/1000</f>
        <v>151.91064588226837</v>
      </c>
      <c r="Y15" s="20">
        <f>(THG!X26)/1000</f>
        <v>153.56095097371428</v>
      </c>
      <c r="Z15" s="20">
        <f>(THG!Y26)/1000</f>
        <v>152.08618806966663</v>
      </c>
      <c r="AA15" s="20">
        <f>(THG!Z26)/1000</f>
        <v>156.03311623669646</v>
      </c>
      <c r="AB15" s="20">
        <f>(THG!AA26)/1000</f>
        <v>157.63757298831274</v>
      </c>
      <c r="AC15" s="20">
        <f>(THG!AB26)/1000</f>
        <v>161.09044280870424</v>
      </c>
      <c r="AD15" s="20">
        <f>(THG!AC26)/1000</f>
        <v>163.8923928993205</v>
      </c>
      <c r="AE15" s="20">
        <f>(THG!AD26)/1000</f>
        <v>167.27937411929673</v>
      </c>
      <c r="AF15" s="20">
        <f>(THG!AE26)/1000</f>
        <v>162.63734410803056</v>
      </c>
      <c r="AG15" s="20">
        <f>(THG!AF26)/1000</f>
        <v>163.62252220400541</v>
      </c>
      <c r="AH15" s="163">
        <f>(THG!AG26)/1000</f>
        <v>145.89515044332205</v>
      </c>
      <c r="AI15" s="163">
        <f>(THG!AH26)/1000</f>
        <v>146.81228818570358</v>
      </c>
      <c r="AJ15" s="163">
        <f>(THG!AI26)/1000</f>
        <v>148.07028751224166</v>
      </c>
      <c r="AK15" s="163">
        <f>(THG!AJ26)/1000</f>
        <v>144.47872767333922</v>
      </c>
      <c r="AL15" s="163">
        <f>(THG!AK26)/1000</f>
        <v>144.18232724657935</v>
      </c>
      <c r="AM15" s="163">
        <f>(THG!AL26)/1000</f>
        <v>146.30515581176434</v>
      </c>
      <c r="AN15" s="26"/>
      <c r="AO15" s="26"/>
      <c r="AP15" s="26"/>
      <c r="AQ15" s="26"/>
      <c r="AR15" s="26"/>
    </row>
    <row r="16" spans="2:44" ht="18.75" customHeight="1">
      <c r="B16" s="89"/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166"/>
      <c r="AL16" s="166"/>
      <c r="AM16" s="90"/>
      <c r="AN16" s="90"/>
      <c r="AO16" s="90"/>
      <c r="AP16" s="90"/>
      <c r="AQ16" s="90"/>
      <c r="AR16" s="90"/>
    </row>
    <row r="17" spans="2:44" ht="18.75" customHeight="1">
      <c r="B17" s="5" t="s">
        <v>14</v>
      </c>
      <c r="C17" s="19" t="str">
        <f>'Daten Zielpfadgrafik'!C26</f>
        <v>aktueller Zielpfad**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6">
        <f>'Daten Zielpfadgrafik'!AH26</f>
        <v>150</v>
      </c>
      <c r="AI17" s="26">
        <f>'Daten Zielpfadgrafik'!AI26</f>
        <v>145</v>
      </c>
      <c r="AJ17" s="26">
        <f>'Daten Zielpfadgrafik'!AJ26</f>
        <v>138.80153267406732</v>
      </c>
      <c r="AK17" s="26">
        <f>'Daten Zielpfadgrafik'!AK26</f>
        <v>132.74131421065542</v>
      </c>
      <c r="AL17" s="26">
        <f>'Daten Zielpfadgrafik'!AL26</f>
        <v>124.97133643667375</v>
      </c>
      <c r="AM17" s="26">
        <f>'Daten Zielpfadgrafik'!AM26</f>
        <v>116.76950463502281</v>
      </c>
      <c r="AN17" s="26">
        <f>'Daten Zielpfadgrafik'!AN26</f>
        <v>104.86237439967451</v>
      </c>
      <c r="AO17" s="26">
        <f>'Daten Zielpfadgrafik'!AO26</f>
        <v>99.862374399674508</v>
      </c>
      <c r="AP17" s="26">
        <f>'Daten Zielpfadgrafik'!AP26</f>
        <v>92.862374399674508</v>
      </c>
      <c r="AQ17" s="26">
        <f>'Daten Zielpfadgrafik'!AQ26</f>
        <v>83.862374399674508</v>
      </c>
      <c r="AR17" s="26">
        <f>'Daten Zielpfadgrafik'!AR26</f>
        <v>72.862374399674508</v>
      </c>
    </row>
    <row r="18" spans="2:44" ht="14.25" customHeight="1">
      <c r="B18" s="7"/>
      <c r="C18" s="15"/>
    </row>
    <row r="20" spans="2:44">
      <c r="AM20" s="223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9004-963C-4A4F-8487-83F81E29D193}">
  <sheetPr>
    <tabColor theme="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5C3-7992-42CE-9093-B823D7900E37}">
  <sheetPr>
    <tabColor theme="8"/>
  </sheetPr>
  <dimension ref="B1:AR22"/>
  <sheetViews>
    <sheetView showGridLines="0" zoomScale="85" zoomScaleNormal="85" zoomScalePageLayoutView="150" workbookViewId="0">
      <pane xSplit="3" ySplit="10" topLeftCell="D11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121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52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51</v>
      </c>
      <c r="C5" s="94" t="s">
        <v>63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50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66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7" t="str">
        <f>THG!B33</f>
        <v>CRF 1.A.4.c - Stationäre &amp; mobile Feuerung</v>
      </c>
      <c r="C11" s="88" t="s">
        <v>61</v>
      </c>
      <c r="D11" s="100">
        <f>(THG!C33)/1000</f>
        <v>11.698748613722195</v>
      </c>
      <c r="E11" s="100">
        <f>(THG!D33)/1000</f>
        <v>9.9008403168858266</v>
      </c>
      <c r="F11" s="100">
        <f>(THG!E33)/1000</f>
        <v>9.321854047750433</v>
      </c>
      <c r="G11" s="100">
        <f>(THG!F33)/1000</f>
        <v>9.747745666000192</v>
      </c>
      <c r="H11" s="100">
        <f>(THG!G33)/1000</f>
        <v>9.6954722024240407</v>
      </c>
      <c r="I11" s="100">
        <f>(THG!H33)/1000</f>
        <v>9.9641607277747735</v>
      </c>
      <c r="J11" s="100">
        <f>(THG!I33)/1000</f>
        <v>11.024565099899013</v>
      </c>
      <c r="K11" s="100">
        <f>(THG!J33)/1000</f>
        <v>9.8456128295116159</v>
      </c>
      <c r="L11" s="100">
        <f>(THG!K33)/1000</f>
        <v>9.3278823913319187</v>
      </c>
      <c r="M11" s="100">
        <f>(THG!L33)/1000</f>
        <v>9.4367399110406929</v>
      </c>
      <c r="N11" s="100">
        <f>(THG!M33)/1000</f>
        <v>8.5583691160210655</v>
      </c>
      <c r="O11" s="100">
        <f>(THG!N33)/1000</f>
        <v>8.7993967899524677</v>
      </c>
      <c r="P11" s="100">
        <f>(THG!O33)/1000</f>
        <v>8.4903724436293402</v>
      </c>
      <c r="Q11" s="100">
        <f>(THG!P33)/1000</f>
        <v>8.1232961154343926</v>
      </c>
      <c r="R11" s="100">
        <f>(THG!Q33)/1000</f>
        <v>7.8937752016794684</v>
      </c>
      <c r="S11" s="100">
        <f>(THG!R33)/1000</f>
        <v>7.641258191806493</v>
      </c>
      <c r="T11" s="100">
        <f>(THG!S33)/1000</f>
        <v>7.9656844825834234</v>
      </c>
      <c r="U11" s="100">
        <f>(THG!T33)/1000</f>
        <v>7.2668233016736998</v>
      </c>
      <c r="V11" s="100">
        <f>(THG!U33)/1000</f>
        <v>7.7455874417221144</v>
      </c>
      <c r="W11" s="100">
        <f>(THG!V33)/1000</f>
        <v>7.2817713874584493</v>
      </c>
      <c r="X11" s="100">
        <f>(THG!W33)/1000</f>
        <v>7.6460212265012117</v>
      </c>
      <c r="Y11" s="100">
        <f>(THG!X33)/1000</f>
        <v>8.2836808373957158</v>
      </c>
      <c r="Z11" s="100">
        <f>(THG!Y33)/1000</f>
        <v>7.9286421122170321</v>
      </c>
      <c r="AA11" s="100">
        <f>(THG!Z33)/1000</f>
        <v>7.8166277942825255</v>
      </c>
      <c r="AB11" s="100">
        <f>(THG!AA33)/1000</f>
        <v>8.5104647449671127</v>
      </c>
      <c r="AC11" s="100">
        <f>(THG!AB33)/1000</f>
        <v>8.1046574716373829</v>
      </c>
      <c r="AD11" s="100">
        <f>(THG!AC33)/1000</f>
        <v>8.237548810747688</v>
      </c>
      <c r="AE11" s="100">
        <f>(THG!AD33)/1000</f>
        <v>7.6428398830428046</v>
      </c>
      <c r="AF11" s="100">
        <f>(THG!AE33)/1000</f>
        <v>7.5205007203119472</v>
      </c>
      <c r="AG11" s="100">
        <f>(THG!AF33)/1000</f>
        <v>7.4721738999568652</v>
      </c>
      <c r="AH11" s="171">
        <f>(THG!AG33)/1000</f>
        <v>7.7733537260193337</v>
      </c>
      <c r="AI11" s="171">
        <f>(THG!AH33)/1000</f>
        <v>7.8784646239784175</v>
      </c>
      <c r="AJ11" s="171">
        <f>(THG!AI33)/1000</f>
        <v>7.599857075445235</v>
      </c>
      <c r="AK11" s="171">
        <f>(THG!AJ33)/1000</f>
        <v>7.5398268767853311</v>
      </c>
      <c r="AL11" s="171">
        <f>(THG!AK33)/1000</f>
        <v>7.5382518992308061</v>
      </c>
      <c r="AM11" s="171">
        <f>(THG!AL33)/1000</f>
        <v>7.5326000904258716</v>
      </c>
      <c r="AN11" s="90"/>
      <c r="AO11" s="90"/>
      <c r="AP11" s="90"/>
      <c r="AQ11" s="90"/>
      <c r="AR11" s="90"/>
    </row>
    <row r="12" spans="2:44" ht="36.75" customHeight="1">
      <c r="B12" s="116" t="str">
        <f>THG!B34</f>
        <v>CRF 3.A - Landwirtschaft - Fermentation</v>
      </c>
      <c r="C12" s="14" t="s">
        <v>61</v>
      </c>
      <c r="D12" s="99">
        <f>(THG!C34)/1000</f>
        <v>37.623818570134439</v>
      </c>
      <c r="E12" s="99">
        <f>(THG!D34)/1000</f>
        <v>33.628537763700528</v>
      </c>
      <c r="F12" s="99">
        <f>(THG!E34)/1000</f>
        <v>32.826754687014301</v>
      </c>
      <c r="G12" s="99">
        <f>(THG!F34)/1000</f>
        <v>32.912896474748905</v>
      </c>
      <c r="H12" s="99">
        <f>(THG!G34)/1000</f>
        <v>33.123775099132075</v>
      </c>
      <c r="I12" s="99">
        <f>(THG!H34)/1000</f>
        <v>33.221251289155305</v>
      </c>
      <c r="J12" s="99">
        <f>(THG!I34)/1000</f>
        <v>33.271361275518252</v>
      </c>
      <c r="K12" s="99">
        <f>(THG!J34)/1000</f>
        <v>32.299357543138271</v>
      </c>
      <c r="L12" s="99">
        <f>(THG!K34)/1000</f>
        <v>32.070473420170721</v>
      </c>
      <c r="M12" s="99">
        <f>(THG!L34)/1000</f>
        <v>31.804316751529701</v>
      </c>
      <c r="N12" s="99">
        <f>(THG!M34)/1000</f>
        <v>31.287378755775883</v>
      </c>
      <c r="O12" s="99">
        <f>(THG!N34)/1000</f>
        <v>31.764778917567565</v>
      </c>
      <c r="P12" s="99">
        <f>(THG!O34)/1000</f>
        <v>30.547860155399796</v>
      </c>
      <c r="Q12" s="99">
        <f>(THG!P34)/1000</f>
        <v>30.178909691242588</v>
      </c>
      <c r="R12" s="99">
        <f>(THG!Q34)/1000</f>
        <v>29.356259196745803</v>
      </c>
      <c r="S12" s="99">
        <f>(THG!R34)/1000</f>
        <v>29.158174775412775</v>
      </c>
      <c r="T12" s="99">
        <f>(THG!S34)/1000</f>
        <v>28.583613982304108</v>
      </c>
      <c r="U12" s="99">
        <f>(THG!T34)/1000</f>
        <v>28.701576294346992</v>
      </c>
      <c r="V12" s="99">
        <f>(THG!U34)/1000</f>
        <v>28.935175879035736</v>
      </c>
      <c r="W12" s="99">
        <f>(THG!V34)/1000</f>
        <v>28.946635446492213</v>
      </c>
      <c r="X12" s="99">
        <f>(THG!W34)/1000</f>
        <v>28.765126016082398</v>
      </c>
      <c r="Y12" s="99">
        <f>(THG!X34)/1000</f>
        <v>28.390152139165373</v>
      </c>
      <c r="Z12" s="99">
        <f>(THG!Y34)/1000</f>
        <v>28.397042956882487</v>
      </c>
      <c r="AA12" s="99">
        <f>(THG!Z34)/1000</f>
        <v>28.745592399611112</v>
      </c>
      <c r="AB12" s="99">
        <f>(THG!AA34)/1000</f>
        <v>28.986641203496752</v>
      </c>
      <c r="AC12" s="99">
        <f>(THG!AB34)/1000</f>
        <v>28.92093643026131</v>
      </c>
      <c r="AD12" s="99">
        <f>(THG!AC34)/1000</f>
        <v>28.634824083997529</v>
      </c>
      <c r="AE12" s="99">
        <f>(THG!AD34)/1000</f>
        <v>28.41403225172645</v>
      </c>
      <c r="AF12" s="99">
        <f>(THG!AE34)/1000</f>
        <v>27.989804268351346</v>
      </c>
      <c r="AG12" s="99">
        <f>(THG!AF34)/1000</f>
        <v>27.676508983736436</v>
      </c>
      <c r="AH12" s="170">
        <f>(THG!AG34)/1000</f>
        <v>27.260502253098135</v>
      </c>
      <c r="AI12" s="170">
        <f>(THG!AH34)/1000</f>
        <v>26.742033366827759</v>
      </c>
      <c r="AJ12" s="170">
        <f>(THG!AI34)/1000</f>
        <v>26.473023260342167</v>
      </c>
      <c r="AK12" s="170">
        <f>(THG!AJ34)/1000</f>
        <v>26.428064953704634</v>
      </c>
      <c r="AL12" s="170">
        <f>(THG!AK34)/1000</f>
        <v>25.847951169644229</v>
      </c>
      <c r="AM12" s="170">
        <f>(THG!AL34)/1000</f>
        <v>25.86808401016912</v>
      </c>
      <c r="AN12" s="28"/>
      <c r="AO12" s="28"/>
      <c r="AP12" s="28"/>
      <c r="AQ12" s="28"/>
      <c r="AR12" s="28"/>
    </row>
    <row r="13" spans="2:44" ht="36.75" customHeight="1">
      <c r="B13" s="117" t="str">
        <f>THG!B35</f>
        <v>CRF 3.B - Landwirtschaft - Düngerwirtschaft</v>
      </c>
      <c r="C13" s="88" t="s">
        <v>61</v>
      </c>
      <c r="D13" s="100">
        <f>(THG!C35)/1000</f>
        <v>12.97058292413425</v>
      </c>
      <c r="E13" s="100">
        <f>(THG!D35)/1000</f>
        <v>11.488280341338847</v>
      </c>
      <c r="F13" s="100">
        <f>(THG!E35)/1000</f>
        <v>11.58924875750316</v>
      </c>
      <c r="G13" s="100">
        <f>(THG!F35)/1000</f>
        <v>11.772939653511868</v>
      </c>
      <c r="H13" s="100">
        <f>(THG!G35)/1000</f>
        <v>11.797229683891855</v>
      </c>
      <c r="I13" s="100">
        <f>(THG!H35)/1000</f>
        <v>11.782903187525875</v>
      </c>
      <c r="J13" s="100">
        <f>(THG!I35)/1000</f>
        <v>11.888428632047045</v>
      </c>
      <c r="K13" s="100">
        <f>(THG!J35)/1000</f>
        <v>11.625202512865753</v>
      </c>
      <c r="L13" s="100">
        <f>(THG!K35)/1000</f>
        <v>11.852352442867597</v>
      </c>
      <c r="M13" s="100">
        <f>(THG!L35)/1000</f>
        <v>11.677909683188824</v>
      </c>
      <c r="N13" s="100">
        <f>(THG!M35)/1000</f>
        <v>11.648685141664544</v>
      </c>
      <c r="O13" s="100">
        <f>(THG!N35)/1000</f>
        <v>11.864082888617112</v>
      </c>
      <c r="P13" s="100">
        <f>(THG!O35)/1000</f>
        <v>11.605570447266203</v>
      </c>
      <c r="Q13" s="100">
        <f>(THG!P35)/1000</f>
        <v>11.215322734695423</v>
      </c>
      <c r="R13" s="100">
        <f>(THG!Q35)/1000</f>
        <v>11.23467309073397</v>
      </c>
      <c r="S13" s="100">
        <f>(THG!R35)/1000</f>
        <v>11.121699862067155</v>
      </c>
      <c r="T13" s="100">
        <f>(THG!S35)/1000</f>
        <v>10.821611178501453</v>
      </c>
      <c r="U13" s="100">
        <f>(THG!T35)/1000</f>
        <v>10.972972795078736</v>
      </c>
      <c r="V13" s="100">
        <f>(THG!U35)/1000</f>
        <v>10.735976580177233</v>
      </c>
      <c r="W13" s="100">
        <f>(THG!V35)/1000</f>
        <v>10.673414055811447</v>
      </c>
      <c r="X13" s="100">
        <f>(THG!W35)/1000</f>
        <v>10.331344302185721</v>
      </c>
      <c r="Y13" s="100">
        <f>(THG!X35)/1000</f>
        <v>10.057554418421605</v>
      </c>
      <c r="Z13" s="100">
        <f>(THG!Y35)/1000</f>
        <v>10.133157470454583</v>
      </c>
      <c r="AA13" s="100">
        <f>(THG!Z35)/1000</f>
        <v>10.240242646944839</v>
      </c>
      <c r="AB13" s="100">
        <f>(THG!AA35)/1000</f>
        <v>10.288804418560565</v>
      </c>
      <c r="AC13" s="100">
        <f>(THG!AB35)/1000</f>
        <v>10.08572341903394</v>
      </c>
      <c r="AD13" s="100">
        <f>(THG!AC35)/1000</f>
        <v>10.13315197617603</v>
      </c>
      <c r="AE13" s="100">
        <f>(THG!AD35)/1000</f>
        <v>10.304107052083134</v>
      </c>
      <c r="AF13" s="100">
        <f>(THG!AE35)/1000</f>
        <v>9.6337488348774905</v>
      </c>
      <c r="AG13" s="100">
        <f>(THG!AF35)/1000</f>
        <v>9.8426894257163848</v>
      </c>
      <c r="AH13" s="171">
        <f>(THG!AG35)/1000</f>
        <v>9.6263938629428836</v>
      </c>
      <c r="AI13" s="171">
        <f>(THG!AH35)/1000</f>
        <v>9.424054927606905</v>
      </c>
      <c r="AJ13" s="171">
        <f>(THG!AI35)/1000</f>
        <v>8.6370372710542611</v>
      </c>
      <c r="AK13" s="171">
        <f>(THG!AJ35)/1000</f>
        <v>9.1544818417823155</v>
      </c>
      <c r="AL13" s="171">
        <f>(THG!AK35)/1000</f>
        <v>9.0673243154768741</v>
      </c>
      <c r="AM13" s="171">
        <f>(THG!AL35)/1000</f>
        <v>8.6983705988347069</v>
      </c>
      <c r="AN13" s="90"/>
      <c r="AO13" s="90"/>
      <c r="AP13" s="90"/>
      <c r="AQ13" s="90"/>
      <c r="AR13" s="90"/>
    </row>
    <row r="14" spans="2:44" ht="36.75" customHeight="1">
      <c r="B14" s="118" t="str">
        <f>THG!B36</f>
        <v>CRF 3.D - Landwirtschaft - Landwirtschaftliche Böden</v>
      </c>
      <c r="C14" s="101" t="s">
        <v>61</v>
      </c>
      <c r="D14" s="99">
        <f>(THG!C36)/1000</f>
        <v>20.292796483643706</v>
      </c>
      <c r="E14" s="99">
        <f>(THG!D36)/1000</f>
        <v>18.380558642769202</v>
      </c>
      <c r="F14" s="99">
        <f>(THG!E36)/1000</f>
        <v>18.791817831279147</v>
      </c>
      <c r="G14" s="99">
        <f>(THG!F36)/1000</f>
        <v>17.622261821809794</v>
      </c>
      <c r="H14" s="99">
        <f>(THG!G36)/1000</f>
        <v>18.140644002589237</v>
      </c>
      <c r="I14" s="99">
        <f>(THG!H36)/1000</f>
        <v>17.742741249849011</v>
      </c>
      <c r="J14" s="99">
        <f>(THG!I36)/1000</f>
        <v>17.500783752162189</v>
      </c>
      <c r="K14" s="99">
        <f>(THG!J36)/1000</f>
        <v>17.827132355702346</v>
      </c>
      <c r="L14" s="99">
        <f>(THG!K36)/1000</f>
        <v>17.830632432178323</v>
      </c>
      <c r="M14" s="99">
        <f>(THG!L36)/1000</f>
        <v>18.146345967662597</v>
      </c>
      <c r="N14" s="99">
        <f>(THG!M36)/1000</f>
        <v>18.514035257609063</v>
      </c>
      <c r="O14" s="99">
        <f>(THG!N36)/1000</f>
        <v>17.786009794456845</v>
      </c>
      <c r="P14" s="99">
        <f>(THG!O36)/1000</f>
        <v>18.556562889739496</v>
      </c>
      <c r="Q14" s="99">
        <f>(THG!P36)/1000</f>
        <v>16.576349743752385</v>
      </c>
      <c r="R14" s="99">
        <f>(THG!Q36)/1000</f>
        <v>17.656356464838524</v>
      </c>
      <c r="S14" s="99">
        <f>(THG!R36)/1000</f>
        <v>17.584443646017913</v>
      </c>
      <c r="T14" s="99">
        <f>(THG!S36)/1000</f>
        <v>17.472995336253163</v>
      </c>
      <c r="U14" s="99">
        <f>(THG!T36)/1000</f>
        <v>18.145516902199553</v>
      </c>
      <c r="V14" s="99">
        <f>(THG!U36)/1000</f>
        <v>16.899017074726498</v>
      </c>
      <c r="W14" s="99">
        <f>(THG!V36)/1000</f>
        <v>17.297057805814688</v>
      </c>
      <c r="X14" s="99">
        <f>(THG!W36)/1000</f>
        <v>17.391615763774546</v>
      </c>
      <c r="Y14" s="99">
        <f>(THG!X36)/1000</f>
        <v>17.591136643790374</v>
      </c>
      <c r="Z14" s="99">
        <f>(THG!Y36)/1000</f>
        <v>17.51598653198225</v>
      </c>
      <c r="AA14" s="99">
        <f>(THG!Z36)/1000</f>
        <v>18.154536276528994</v>
      </c>
      <c r="AB14" s="99">
        <f>(THG!AA36)/1000</f>
        <v>18.399151522699132</v>
      </c>
      <c r="AC14" s="99">
        <f>(THG!AB36)/1000</f>
        <v>17.903118975333175</v>
      </c>
      <c r="AD14" s="99">
        <f>(THG!AC36)/1000</f>
        <v>18.440366644996043</v>
      </c>
      <c r="AE14" s="99">
        <f>(THG!AD36)/1000</f>
        <v>18.405166249605806</v>
      </c>
      <c r="AF14" s="99">
        <f>(THG!AE36)/1000</f>
        <v>16.604219246776928</v>
      </c>
      <c r="AG14" s="99">
        <f>(THG!AF36)/1000</f>
        <v>16.782605406001615</v>
      </c>
      <c r="AH14" s="170">
        <f>(THG!AG36)/1000</f>
        <v>16.095648148969453</v>
      </c>
      <c r="AI14" s="170">
        <f>(THG!AH36)/1000</f>
        <v>16.121790854353677</v>
      </c>
      <c r="AJ14" s="170">
        <f>(THG!AI36)/1000</f>
        <v>15.058409599081797</v>
      </c>
      <c r="AK14" s="170">
        <f>(THG!AJ36)/1000</f>
        <v>15.648393092963461</v>
      </c>
      <c r="AL14" s="170">
        <f>(THG!AK36)/1000</f>
        <v>14.473136706952221</v>
      </c>
      <c r="AM14" s="170">
        <f>(THG!AL36)/1000</f>
        <v>14.570372419433186</v>
      </c>
      <c r="AN14" s="28"/>
      <c r="AO14" s="28"/>
      <c r="AP14" s="28"/>
      <c r="AQ14" s="28"/>
      <c r="AR14" s="28"/>
    </row>
    <row r="15" spans="2:44" ht="36.75" customHeight="1">
      <c r="B15" s="117" t="str">
        <f>THG!B37</f>
        <v>CRF 3.G - Landwirtschaft - Kalkung</v>
      </c>
      <c r="C15" s="88" t="s">
        <v>61</v>
      </c>
      <c r="D15" s="100">
        <f>(THG!C37)/1000</f>
        <v>2.2000091746331907</v>
      </c>
      <c r="E15" s="100">
        <f>(THG!D37)/1000</f>
        <v>1.986576096973377</v>
      </c>
      <c r="F15" s="100">
        <f>(THG!E37)/1000</f>
        <v>1.7489646671605523</v>
      </c>
      <c r="G15" s="100">
        <f>(THG!F37)/1000</f>
        <v>1.4652322748345619</v>
      </c>
      <c r="H15" s="100">
        <f>(THG!G37)/1000</f>
        <v>1.3247076951720933</v>
      </c>
      <c r="I15" s="100">
        <f>(THG!H37)/1000</f>
        <v>1.2797427271810482</v>
      </c>
      <c r="J15" s="100">
        <f>(THG!I37)/1000</f>
        <v>1.3803173560578053</v>
      </c>
      <c r="K15" s="100">
        <f>(THG!J37)/1000</f>
        <v>1.4800880651919652</v>
      </c>
      <c r="L15" s="100">
        <f>(THG!K37)/1000</f>
        <v>1.5882379417548242</v>
      </c>
      <c r="M15" s="100">
        <f>(THG!L37)/1000</f>
        <v>1.7149480241525781</v>
      </c>
      <c r="N15" s="100">
        <f>(THG!M37)/1000</f>
        <v>1.6953908956279253</v>
      </c>
      <c r="O15" s="100">
        <f>(THG!N37)/1000</f>
        <v>1.6942857411657082</v>
      </c>
      <c r="P15" s="100">
        <f>(THG!O37)/1000</f>
        <v>1.5921183269642136</v>
      </c>
      <c r="Q15" s="100">
        <f>(THG!P37)/1000</f>
        <v>1.5682396797721245</v>
      </c>
      <c r="R15" s="100">
        <f>(THG!Q37)/1000</f>
        <v>1.4824714665403245</v>
      </c>
      <c r="S15" s="100">
        <f>(THG!R37)/1000</f>
        <v>1.427512953315917</v>
      </c>
      <c r="T15" s="100">
        <f>(THG!S37)/1000</f>
        <v>1.4384972361264712</v>
      </c>
      <c r="U15" s="100">
        <f>(THG!T37)/1000</f>
        <v>1.4771324157155898</v>
      </c>
      <c r="V15" s="100">
        <f>(THG!U37)/1000</f>
        <v>1.5447135040892246</v>
      </c>
      <c r="W15" s="100">
        <f>(THG!V37)/1000</f>
        <v>1.5219677557275462</v>
      </c>
      <c r="X15" s="100">
        <f>(THG!W37)/1000</f>
        <v>1.5490008412794591</v>
      </c>
      <c r="Y15" s="100">
        <f>(THG!X37)/1000</f>
        <v>1.5932639130940478</v>
      </c>
      <c r="Z15" s="100">
        <f>(THG!Y37)/1000</f>
        <v>1.6920846129581979</v>
      </c>
      <c r="AA15" s="100">
        <f>(THG!Z37)/1000</f>
        <v>1.8245301506517635</v>
      </c>
      <c r="AB15" s="100">
        <f>(THG!AA37)/1000</f>
        <v>1.9172560062283042</v>
      </c>
      <c r="AC15" s="100">
        <f>(THG!AB37)/1000</f>
        <v>1.9057889653428215</v>
      </c>
      <c r="AD15" s="100">
        <f>(THG!AC37)/1000</f>
        <v>1.8817710978389952</v>
      </c>
      <c r="AE15" s="100">
        <f>(THG!AD37)/1000</f>
        <v>1.9376313819510826</v>
      </c>
      <c r="AF15" s="100">
        <f>(THG!AE37)/1000</f>
        <v>2.0474384710724456</v>
      </c>
      <c r="AG15" s="100">
        <f>(THG!AF37)/1000</f>
        <v>2.0388381471044408</v>
      </c>
      <c r="AH15" s="171">
        <f>(THG!AG37)/1000</f>
        <v>2.0097765735279882</v>
      </c>
      <c r="AI15" s="171">
        <f>(THG!AH37)/1000</f>
        <v>1.9826148498016076</v>
      </c>
      <c r="AJ15" s="171">
        <f>(THG!AI37)/1000</f>
        <v>1.9946207401739058</v>
      </c>
      <c r="AK15" s="171">
        <f>(THG!AJ37)/1000</f>
        <v>1.9386849032029789</v>
      </c>
      <c r="AL15" s="171">
        <f>(THG!AK37)/1000</f>
        <v>1.9065042304271078</v>
      </c>
      <c r="AM15" s="171">
        <f>(THG!AL37)/1000</f>
        <v>2.155496616952381</v>
      </c>
      <c r="AN15" s="90"/>
      <c r="AO15" s="90"/>
      <c r="AP15" s="90"/>
      <c r="AQ15" s="90"/>
      <c r="AR15" s="90"/>
    </row>
    <row r="16" spans="2:44" ht="36.75" customHeight="1">
      <c r="B16" s="116" t="str">
        <f>THG!B38</f>
        <v>CRF 3.H - Landwirtschaft - Harnstoffanwendung</v>
      </c>
      <c r="C16" s="14" t="s">
        <v>61</v>
      </c>
      <c r="D16" s="99">
        <f>(THG!C38)/1000</f>
        <v>0.47999756126848592</v>
      </c>
      <c r="E16" s="99">
        <f>(THG!D38)/1000</f>
        <v>0.4370876781546571</v>
      </c>
      <c r="F16" s="99">
        <f>(THG!E38)/1000</f>
        <v>0.42755946715898802</v>
      </c>
      <c r="G16" s="99">
        <f>(THG!F38)/1000</f>
        <v>0.42213570376145343</v>
      </c>
      <c r="H16" s="99">
        <f>(THG!G38)/1000</f>
        <v>0.4485724991894367</v>
      </c>
      <c r="I16" s="99">
        <f>(THG!H38)/1000</f>
        <v>0.45853290458490925</v>
      </c>
      <c r="J16" s="99">
        <f>(THG!I38)/1000</f>
        <v>0.48476947595965025</v>
      </c>
      <c r="K16" s="99">
        <f>(THG!J38)/1000</f>
        <v>0.49780342831372576</v>
      </c>
      <c r="L16" s="99">
        <f>(THG!K38)/1000</f>
        <v>0.52410390455510425</v>
      </c>
      <c r="M16" s="99">
        <f>(THG!L38)/1000</f>
        <v>0.55155649974929244</v>
      </c>
      <c r="N16" s="99">
        <f>(THG!M38)/1000</f>
        <v>0.59313021403706201</v>
      </c>
      <c r="O16" s="99">
        <f>(THG!N38)/1000</f>
        <v>0.62165452353742978</v>
      </c>
      <c r="P16" s="99">
        <f>(THG!O38)/1000</f>
        <v>0.63995328540244545</v>
      </c>
      <c r="Q16" s="99">
        <f>(THG!P38)/1000</f>
        <v>0.65010104734449958</v>
      </c>
      <c r="R16" s="99">
        <f>(THG!Q38)/1000</f>
        <v>0.63430897589167778</v>
      </c>
      <c r="S16" s="99">
        <f>(THG!R38)/1000</f>
        <v>0.64109414255526032</v>
      </c>
      <c r="T16" s="99">
        <f>(THG!S38)/1000</f>
        <v>0.63093302353321212</v>
      </c>
      <c r="U16" s="99">
        <f>(THG!T38)/1000</f>
        <v>0.64756030921898766</v>
      </c>
      <c r="V16" s="99">
        <f>(THG!U38)/1000</f>
        <v>0.69462878537759287</v>
      </c>
      <c r="W16" s="99">
        <f>(THG!V38)/1000</f>
        <v>0.6767553568457173</v>
      </c>
      <c r="X16" s="99">
        <f>(THG!W38)/1000</f>
        <v>0.71075347585693016</v>
      </c>
      <c r="Y16" s="99">
        <f>(THG!X38)/1000</f>
        <v>0.65402883303604753</v>
      </c>
      <c r="Z16" s="99">
        <f>(THG!Y38)/1000</f>
        <v>0.6899058568397396</v>
      </c>
      <c r="AA16" s="99">
        <f>(THG!Z38)/1000</f>
        <v>0.67255047587429517</v>
      </c>
      <c r="AB16" s="99">
        <f>(THG!AA38)/1000</f>
        <v>0.74970499965922499</v>
      </c>
      <c r="AC16" s="99">
        <f>(THG!AB38)/1000</f>
        <v>0.79149504757356282</v>
      </c>
      <c r="AD16" s="99">
        <f>(THG!AC38)/1000</f>
        <v>0.81514216629614755</v>
      </c>
      <c r="AE16" s="99">
        <f>(THG!AD38)/1000</f>
        <v>0.71956657113292433</v>
      </c>
      <c r="AF16" s="99">
        <f>(THG!AE38)/1000</f>
        <v>0.6052506425715527</v>
      </c>
      <c r="AG16" s="99">
        <f>(THG!AF38)/1000</f>
        <v>0.49774816644041742</v>
      </c>
      <c r="AH16" s="170">
        <f>(THG!AG38)/1000</f>
        <v>0.43326538077639454</v>
      </c>
      <c r="AI16" s="170">
        <f>(THG!AH38)/1000</f>
        <v>0.39729616648607746</v>
      </c>
      <c r="AJ16" s="170">
        <f>(THG!AI38)/1000</f>
        <v>0.3669992855265154</v>
      </c>
      <c r="AK16" s="170">
        <f>(THG!AJ38)/1000</f>
        <v>0.34751016650870753</v>
      </c>
      <c r="AL16" s="170">
        <f>(THG!AK38)/1000</f>
        <v>0.33020166651657501</v>
      </c>
      <c r="AM16" s="170">
        <f>(THG!AL38)/1000</f>
        <v>0.3294499999999998</v>
      </c>
      <c r="AN16" s="28"/>
      <c r="AO16" s="28"/>
      <c r="AP16" s="28"/>
      <c r="AQ16" s="28"/>
      <c r="AR16" s="28"/>
    </row>
    <row r="17" spans="2:44" ht="36.75" customHeight="1">
      <c r="B17" s="117" t="str">
        <f>THG!B39</f>
        <v>CRF 3.I - Landwirtschaft - Andere kohlenstoffhaltige Düngemittel</v>
      </c>
      <c r="C17" s="88" t="s">
        <v>61</v>
      </c>
      <c r="D17" s="100">
        <f>(THG!C39)/1000</f>
        <v>0.51044657839999996</v>
      </c>
      <c r="E17" s="100">
        <f>(THG!D39)/1000</f>
        <v>0.47364564587999991</v>
      </c>
      <c r="F17" s="100">
        <f>(THG!E39)/1000</f>
        <v>0.44882474999999999</v>
      </c>
      <c r="G17" s="100">
        <f>(THG!F39)/1000</f>
        <v>0.415200038396</v>
      </c>
      <c r="H17" s="100">
        <f>(THG!G39)/1000</f>
        <v>0.40208593853999991</v>
      </c>
      <c r="I17" s="100">
        <f>(THG!H39)/1000</f>
        <v>0.38949462173600002</v>
      </c>
      <c r="J17" s="100">
        <f>(THG!I39)/1000</f>
        <v>0.39062263613999992</v>
      </c>
      <c r="K17" s="100">
        <f>(THG!J39)/1000</f>
        <v>0.37744347695999997</v>
      </c>
      <c r="L17" s="100">
        <f>(THG!K39)/1000</f>
        <v>0.37060261928800003</v>
      </c>
      <c r="M17" s="100">
        <f>(THG!L39)/1000</f>
        <v>0.37758292378399994</v>
      </c>
      <c r="N17" s="100">
        <f>(THG!M39)/1000</f>
        <v>0.36662832148800001</v>
      </c>
      <c r="O17" s="100">
        <f>(THG!N39)/1000</f>
        <v>0.34901621985999992</v>
      </c>
      <c r="P17" s="100">
        <f>(THG!O39)/1000</f>
        <v>0.319796815008</v>
      </c>
      <c r="Q17" s="100">
        <f>(THG!P39)/1000</f>
        <v>0.31216542675999998</v>
      </c>
      <c r="R17" s="100">
        <f>(THG!Q39)/1000</f>
        <v>0.30977691716399997</v>
      </c>
      <c r="S17" s="100">
        <f>(THG!R39)/1000</f>
        <v>0.30753183511599996</v>
      </c>
      <c r="T17" s="100">
        <f>(THG!S39)/1000</f>
        <v>0.28576120658800003</v>
      </c>
      <c r="U17" s="100">
        <f>(THG!T39)/1000</f>
        <v>0.28291231086800001</v>
      </c>
      <c r="V17" s="100">
        <f>(THG!U39)/1000</f>
        <v>0.26072744675999998</v>
      </c>
      <c r="W17" s="100">
        <f>(THG!V39)/1000</f>
        <v>0.26726851228000004</v>
      </c>
      <c r="X17" s="100">
        <f>(THG!W39)/1000</f>
        <v>0.25723667252799998</v>
      </c>
      <c r="Y17" s="100">
        <f>(THG!X39)/1000</f>
        <v>0.26410290675999998</v>
      </c>
      <c r="Z17" s="100">
        <f>(THG!Y39)/1000</f>
        <v>0.253914204852</v>
      </c>
      <c r="AA17" s="100">
        <f>(THG!Z39)/1000</f>
        <v>0.24028784538</v>
      </c>
      <c r="AB17" s="100">
        <f>(THG!AA39)/1000</f>
        <v>0.23622273914799999</v>
      </c>
      <c r="AC17" s="100">
        <f>(THG!AB39)/1000</f>
        <v>0.23067260471200002</v>
      </c>
      <c r="AD17" s="100">
        <f>(THG!AC39)/1000</f>
        <v>0.225715710264</v>
      </c>
      <c r="AE17" s="100">
        <f>(THG!AD39)/1000</f>
        <v>0.21303624601600002</v>
      </c>
      <c r="AF17" s="100">
        <f>(THG!AE39)/1000</f>
        <v>0.20270871922399999</v>
      </c>
      <c r="AG17" s="100">
        <f>(THG!AF39)/1000</f>
        <v>0.19421726350399998</v>
      </c>
      <c r="AH17" s="171">
        <f>(THG!AG39)/1000</f>
        <v>0.18545922916399998</v>
      </c>
      <c r="AI17" s="171">
        <f>(THG!AH39)/1000</f>
        <v>0.17554705748800001</v>
      </c>
      <c r="AJ17" s="171">
        <f>(THG!AI39)/1000</f>
        <v>0.157481660248</v>
      </c>
      <c r="AK17" s="171">
        <f>(THG!AJ39)/1000</f>
        <v>0.147807829488</v>
      </c>
      <c r="AL17" s="171">
        <f>(THG!AK39)/1000</f>
        <v>0.14475106962800002</v>
      </c>
      <c r="AM17" s="171">
        <f>(THG!AL39)/1000</f>
        <v>0.15237661130864172</v>
      </c>
      <c r="AN17" s="90"/>
      <c r="AO17" s="90"/>
      <c r="AP17" s="90"/>
      <c r="AQ17" s="90"/>
      <c r="AR17" s="90"/>
    </row>
    <row r="18" spans="2:44" ht="36.75" customHeight="1">
      <c r="B18" s="118" t="str">
        <f>THG!B40</f>
        <v>CRF 3.J - Andere</v>
      </c>
      <c r="C18" s="101" t="s">
        <v>61</v>
      </c>
      <c r="D18" s="99">
        <f>(THG!C40)/1000</f>
        <v>4.1980557158817055E-4</v>
      </c>
      <c r="E18" s="99">
        <f>(THG!D40)/1000</f>
        <v>1.0130502524122471E-3</v>
      </c>
      <c r="F18" s="99">
        <f>(THG!E40)/1000</f>
        <v>1.3663185837539268E-3</v>
      </c>
      <c r="G18" s="99">
        <f>(THG!F40)/1000</f>
        <v>1.7777960747920787E-3</v>
      </c>
      <c r="H18" s="99">
        <f>(THG!G40)/1000</f>
        <v>2.1825038140414529E-3</v>
      </c>
      <c r="I18" s="99">
        <f>(THG!H40)/1000</f>
        <v>5.2813123327942451E-3</v>
      </c>
      <c r="J18" s="99">
        <f>(THG!I40)/1000</f>
        <v>8.7607514713526589E-3</v>
      </c>
      <c r="K18" s="99">
        <f>(THG!J40)/1000</f>
        <v>1.1032770524260448E-2</v>
      </c>
      <c r="L18" s="99">
        <f>(THG!K40)/1000</f>
        <v>2.4903629756538863E-2</v>
      </c>
      <c r="M18" s="99">
        <f>(THG!L40)/1000</f>
        <v>2.8211923981877818E-2</v>
      </c>
      <c r="N18" s="99">
        <f>(THG!M40)/1000</f>
        <v>4.4726674035024797E-2</v>
      </c>
      <c r="O18" s="99">
        <f>(THG!N40)/1000</f>
        <v>6.34179803683428E-2</v>
      </c>
      <c r="P18" s="99">
        <f>(THG!O40)/1000</f>
        <v>9.0998815124785609E-2</v>
      </c>
      <c r="Q18" s="99">
        <f>(THG!P40)/1000</f>
        <v>0.1065187125039352</v>
      </c>
      <c r="R18" s="99">
        <f>(THG!Q40)/1000</f>
        <v>0.13822647247362582</v>
      </c>
      <c r="S18" s="99">
        <f>(THG!R40)/1000</f>
        <v>0.36572539575272323</v>
      </c>
      <c r="T18" s="99">
        <f>(THG!S40)/1000</f>
        <v>0.49904676457435687</v>
      </c>
      <c r="U18" s="99">
        <f>(THG!T40)/1000</f>
        <v>0.66401816755888943</v>
      </c>
      <c r="V18" s="99">
        <f>(THG!U40)/1000</f>
        <v>0.75119750080449976</v>
      </c>
      <c r="W18" s="99">
        <f>(THG!V40)/1000</f>
        <v>0.93637243337284026</v>
      </c>
      <c r="X18" s="99">
        <f>(THG!W40)/1000</f>
        <v>1.144469013510051</v>
      </c>
      <c r="Y18" s="99">
        <f>(THG!X40)/1000</f>
        <v>1.3802507570690667</v>
      </c>
      <c r="Z18" s="99">
        <f>(THG!Y40)/1000</f>
        <v>1.4023170774986211</v>
      </c>
      <c r="AA18" s="99">
        <f>(THG!Z40)/1000</f>
        <v>1.6788338129316474</v>
      </c>
      <c r="AB18" s="99">
        <f>(THG!AA40)/1000</f>
        <v>1.7323826970448135</v>
      </c>
      <c r="AC18" s="99">
        <f>(THG!AB40)/1000</f>
        <v>1.7746797757224477</v>
      </c>
      <c r="AD18" s="99">
        <f>(THG!AC40)/1000</f>
        <v>1.7430272128088353</v>
      </c>
      <c r="AE18" s="99">
        <f>(THG!AD40)/1000</f>
        <v>1.69557262117662</v>
      </c>
      <c r="AF18" s="99">
        <f>(THG!AE40)/1000</f>
        <v>1.6423028174269103</v>
      </c>
      <c r="AG18" s="99">
        <f>(THG!AF40)/1000</f>
        <v>1.601116643697019</v>
      </c>
      <c r="AH18" s="170">
        <f>(THG!AG40)/1000</f>
        <v>1.5902902179277376</v>
      </c>
      <c r="AI18" s="170">
        <f>(THG!AH40)/1000</f>
        <v>1.5165348491135562</v>
      </c>
      <c r="AJ18" s="170">
        <f>(THG!AI40)/1000</f>
        <v>1.632747692929726</v>
      </c>
      <c r="AK18" s="170">
        <f>(THG!AJ40)/1000</f>
        <v>1.5379656717262464</v>
      </c>
      <c r="AL18" s="170">
        <f>(THG!AK40)/1000</f>
        <v>1.5380154068532992</v>
      </c>
      <c r="AM18" s="170">
        <f>(THG!AL40)/1000</f>
        <v>1.5357308604878708</v>
      </c>
      <c r="AN18" s="28"/>
      <c r="AO18" s="28"/>
      <c r="AP18" s="28"/>
      <c r="AQ18" s="28"/>
      <c r="AR18" s="28"/>
    </row>
    <row r="19" spans="2:44" ht="18.75" customHeight="1">
      <c r="B19" s="5" t="str">
        <f>THG!B32</f>
        <v>5 - Landwirtschaft</v>
      </c>
      <c r="C19" s="19" t="s">
        <v>61</v>
      </c>
      <c r="D19" s="20">
        <f>(THG!C32)/1000</f>
        <v>85.776819711507855</v>
      </c>
      <c r="E19" s="20">
        <f>(THG!D32)/1000</f>
        <v>76.296539535954849</v>
      </c>
      <c r="F19" s="20">
        <f>(THG!E32)/1000</f>
        <v>75.156390526450338</v>
      </c>
      <c r="G19" s="20">
        <f>(THG!F32)/1000</f>
        <v>74.360189429137563</v>
      </c>
      <c r="H19" s="20">
        <f>(THG!G32)/1000</f>
        <v>74.934669624752772</v>
      </c>
      <c r="I19" s="20">
        <f>(THG!H32)/1000</f>
        <v>74.844108020139714</v>
      </c>
      <c r="J19" s="20">
        <f>(THG!I32)/1000</f>
        <v>75.949608979255302</v>
      </c>
      <c r="K19" s="20">
        <f>(THG!J32)/1000</f>
        <v>73.963672982207967</v>
      </c>
      <c r="L19" s="20">
        <f>(THG!K32)/1000</f>
        <v>73.589188781903005</v>
      </c>
      <c r="M19" s="20">
        <f>(THG!L32)/1000</f>
        <v>73.737611685089547</v>
      </c>
      <c r="N19" s="20">
        <f>(THG!M32)/1000</f>
        <v>72.708344376258566</v>
      </c>
      <c r="O19" s="20">
        <f>(THG!N32)/1000</f>
        <v>72.942642855525463</v>
      </c>
      <c r="P19" s="20">
        <f>(THG!O32)/1000</f>
        <v>71.843233178534277</v>
      </c>
      <c r="Q19" s="20">
        <f>(THG!P32)/1000</f>
        <v>68.730903151505345</v>
      </c>
      <c r="R19" s="20">
        <f>(THG!Q32)/1000</f>
        <v>68.705847786067395</v>
      </c>
      <c r="S19" s="20">
        <f>(THG!R32)/1000</f>
        <v>68.247440802044238</v>
      </c>
      <c r="T19" s="20">
        <f>(THG!S32)/1000</f>
        <v>67.698143210464181</v>
      </c>
      <c r="U19" s="20">
        <f>(THG!T32)/1000</f>
        <v>68.15851249666045</v>
      </c>
      <c r="V19" s="20">
        <f>(THG!U32)/1000</f>
        <v>67.567024212692885</v>
      </c>
      <c r="W19" s="20">
        <f>(THG!V32)/1000</f>
        <v>67.601242753802921</v>
      </c>
      <c r="X19" s="20">
        <f>(THG!W32)/1000</f>
        <v>67.795567311718315</v>
      </c>
      <c r="Y19" s="20">
        <f>(THG!X32)/1000</f>
        <v>68.214170448732247</v>
      </c>
      <c r="Z19" s="20">
        <f>(THG!Y32)/1000</f>
        <v>68.013050823684907</v>
      </c>
      <c r="AA19" s="20">
        <f>(THG!Z32)/1000</f>
        <v>69.373201402205154</v>
      </c>
      <c r="AB19" s="20">
        <f>(THG!AA32)/1000</f>
        <v>70.820628331803888</v>
      </c>
      <c r="AC19" s="20">
        <f>(THG!AB32)/1000</f>
        <v>69.717072689616643</v>
      </c>
      <c r="AD19" s="20">
        <f>(THG!AC32)/1000</f>
        <v>70.111547703125282</v>
      </c>
      <c r="AE19" s="20">
        <f>(THG!AD32)/1000</f>
        <v>69.331952256734809</v>
      </c>
      <c r="AF19" s="20">
        <f>(THG!AE32)/1000</f>
        <v>66.245973720612625</v>
      </c>
      <c r="AG19" s="20">
        <f>(THG!AF32)/1000</f>
        <v>66.105897936157163</v>
      </c>
      <c r="AH19" s="163">
        <f>(THG!AG32)/1000</f>
        <v>64.97468939242593</v>
      </c>
      <c r="AI19" s="163">
        <f>(THG!AH32)/1000</f>
        <v>64.238336695656002</v>
      </c>
      <c r="AJ19" s="163">
        <f>(THG!AI32)/1000</f>
        <v>61.920176584801617</v>
      </c>
      <c r="AK19" s="163">
        <f>(THG!AJ32)/1000</f>
        <v>62.74273533616168</v>
      </c>
      <c r="AL19" s="163">
        <f>(THG!AK32)/1000</f>
        <v>60.846136464729106</v>
      </c>
      <c r="AM19" s="163">
        <f>(THG!AL32)/1000</f>
        <v>60.842481207611776</v>
      </c>
      <c r="AN19" s="26"/>
      <c r="AO19" s="26"/>
      <c r="AP19" s="26"/>
      <c r="AQ19" s="26"/>
      <c r="AR19" s="26"/>
    </row>
    <row r="20" spans="2:44" ht="18.75" customHeight="1">
      <c r="B20" s="89"/>
      <c r="C20" s="8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</row>
    <row r="21" spans="2:44" s="10" customFormat="1" ht="18.75" customHeight="1">
      <c r="B21" s="5" t="s">
        <v>15</v>
      </c>
      <c r="C21" s="19" t="str">
        <f>'Daten Zielpfadgrafik'!C27</f>
        <v>aktueller Zielpfad**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0">
        <f>'Daten Zielpfadgrafik'!AH27</f>
        <v>70</v>
      </c>
      <c r="AI21" s="20">
        <f>'Daten Zielpfadgrafik'!AI27</f>
        <v>68</v>
      </c>
      <c r="AJ21" s="20">
        <f>'Daten Zielpfadgrafik'!AJ27</f>
        <v>67.592627518947467</v>
      </c>
      <c r="AK21" s="20">
        <f>'Daten Zielpfadgrafik'!AK27</f>
        <v>67.362442884434003</v>
      </c>
      <c r="AL21" s="20">
        <f>'Daten Zielpfadgrafik'!AL27</f>
        <v>66.991365198110572</v>
      </c>
      <c r="AM21" s="20">
        <f>'Daten Zielpfadgrafik'!AM27</f>
        <v>66.015569987007467</v>
      </c>
      <c r="AN21" s="20">
        <f>'Daten Zielpfadgrafik'!AN27</f>
        <v>66.050187742886607</v>
      </c>
      <c r="AO21" s="20">
        <f>'Daten Zielpfadgrafik'!AO27</f>
        <v>65.050187742886607</v>
      </c>
      <c r="AP21" s="20">
        <f>'Daten Zielpfadgrafik'!AP27</f>
        <v>63.050187742886607</v>
      </c>
      <c r="AQ21" s="20">
        <f>'Daten Zielpfadgrafik'!AQ27</f>
        <v>61.050187742886607</v>
      </c>
      <c r="AR21" s="20">
        <f>'Daten Zielpfadgrafik'!AR27</f>
        <v>60.050187742886607</v>
      </c>
    </row>
    <row r="22" spans="2:44" ht="14.25" customHeight="1">
      <c r="B22" s="7"/>
      <c r="C22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C9C1-F2D5-42EE-AD0F-32F94D656A4E}">
  <sheetPr>
    <tabColor theme="8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3"/>
      <c r="E22" s="56"/>
      <c r="F22" s="93"/>
      <c r="G22" s="56"/>
      <c r="H22" s="93"/>
      <c r="I22" s="56"/>
      <c r="J22" s="93"/>
      <c r="K22" s="56"/>
      <c r="L22" s="93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C085-B943-4EBE-8940-2086C4852C3C}">
  <sheetPr>
    <tabColor theme="6"/>
  </sheetPr>
  <dimension ref="B1:AR18"/>
  <sheetViews>
    <sheetView showGridLines="0" zoomScale="85" zoomScaleNormal="85" zoomScalePageLayoutView="150" workbookViewId="0">
      <pane xSplit="3" ySplit="10" topLeftCell="D11" activePane="bottomRight" state="frozen"/>
      <selection pane="topRight"/>
      <selection pane="bottomLeft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56</v>
      </c>
      <c r="C1" s="94" t="s">
        <v>65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54</v>
      </c>
      <c r="C2" s="94" t="s">
        <v>122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53</v>
      </c>
      <c r="C3" s="97">
        <f ca="1">TODAY()</f>
        <v>46093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52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51</v>
      </c>
      <c r="C5" s="94" t="s">
        <v>63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50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66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6" t="str">
        <f>THG!B43</f>
        <v>CRF 5.A - Abfalldeponierung</v>
      </c>
      <c r="C11" s="14" t="s">
        <v>61</v>
      </c>
      <c r="D11" s="99">
        <f>(THG!C43)/1000</f>
        <v>37.191251999999999</v>
      </c>
      <c r="E11" s="99">
        <f>(THG!D43)/1000</f>
        <v>39.322499999999998</v>
      </c>
      <c r="F11" s="99">
        <f>(THG!E43)/1000</f>
        <v>40.268115999999999</v>
      </c>
      <c r="G11" s="99">
        <f>(THG!F43)/1000</f>
        <v>40.154240000000001</v>
      </c>
      <c r="H11" s="99">
        <f>(THG!G43)/1000</f>
        <v>39.212823999999998</v>
      </c>
      <c r="I11" s="99">
        <f>(THG!H43)/1000</f>
        <v>37.857176000000003</v>
      </c>
      <c r="J11" s="99">
        <f>(THG!I43)/1000</f>
        <v>36.060023999999999</v>
      </c>
      <c r="K11" s="99">
        <f>(THG!J43)/1000</f>
        <v>32.792059999999999</v>
      </c>
      <c r="L11" s="99">
        <f>(THG!K43)/1000</f>
        <v>30.293144000000002</v>
      </c>
      <c r="M11" s="99">
        <f>(THG!L43)/1000</f>
        <v>28.232764</v>
      </c>
      <c r="N11" s="99">
        <f>(THG!M43)/1000</f>
        <v>26.271559999999997</v>
      </c>
      <c r="O11" s="99">
        <f>(THG!N43)/1000</f>
        <v>24.258471999999998</v>
      </c>
      <c r="P11" s="99">
        <f>(THG!O43)/1000</f>
        <v>22.439396000000002</v>
      </c>
      <c r="Q11" s="99">
        <f>(THG!P43)/1000</f>
        <v>20.668200000000002</v>
      </c>
      <c r="R11" s="99">
        <f>(THG!Q43)/1000</f>
        <v>18.093683999999996</v>
      </c>
      <c r="S11" s="99">
        <f>(THG!R43)/1000</f>
        <v>16.360596000000001</v>
      </c>
      <c r="T11" s="99">
        <f>(THG!S43)/1000</f>
        <v>14.511195999999998</v>
      </c>
      <c r="U11" s="99">
        <f>(THG!T43)/1000</f>
        <v>12.96946</v>
      </c>
      <c r="V11" s="99">
        <f>(THG!U43)/1000</f>
        <v>11.613616</v>
      </c>
      <c r="W11" s="99">
        <f>(THG!V43)/1000</f>
        <v>10.232348</v>
      </c>
      <c r="X11" s="99">
        <f>(THG!W43)/1000</f>
        <v>9.0151880000000002</v>
      </c>
      <c r="Y11" s="99">
        <f>(THG!X43)/1000</f>
        <v>8.0675279999999994</v>
      </c>
      <c r="Z11" s="99">
        <f>(THG!Y43)/1000</f>
        <v>7.2332399999999986</v>
      </c>
      <c r="AA11" s="99">
        <f>(THG!Z43)/1000</f>
        <v>6.4712479999999992</v>
      </c>
      <c r="AB11" s="99">
        <f>(THG!AA43)/1000</f>
        <v>5.7966160000000002</v>
      </c>
      <c r="AC11" s="99">
        <f>(THG!AB43)/1000</f>
        <v>5.1918439999999997</v>
      </c>
      <c r="AD11" s="99">
        <f>(THG!AC43)/1000</f>
        <v>4.657184</v>
      </c>
      <c r="AE11" s="99">
        <f>(THG!AD43)/1000</f>
        <v>4.2841399999999998</v>
      </c>
      <c r="AF11" s="99">
        <f>(THG!AE43)/1000</f>
        <v>3.9445839999999999</v>
      </c>
      <c r="AG11" s="99">
        <f>(THG!AF43)/1000</f>
        <v>3.4267239999999997</v>
      </c>
      <c r="AH11" s="170">
        <f>(THG!AG43)/1000</f>
        <v>2.973096</v>
      </c>
      <c r="AI11" s="170">
        <f>(THG!AH43)/1000</f>
        <v>2.685508</v>
      </c>
      <c r="AJ11" s="170">
        <f>(THG!AI43)/1000</f>
        <v>2.4319007999999998</v>
      </c>
      <c r="AK11" s="170">
        <f>(THG!AJ43)/1000</f>
        <v>2.2038800000000003</v>
      </c>
      <c r="AL11" s="170">
        <f>(THG!AK43)/1000</f>
        <v>1.9971559999999999</v>
      </c>
      <c r="AM11" s="170">
        <f>(THG!AL43)/1000</f>
        <v>1.8458999999999999</v>
      </c>
      <c r="AN11" s="28"/>
      <c r="AO11" s="28"/>
      <c r="AP11" s="28"/>
      <c r="AQ11" s="28"/>
      <c r="AR11" s="28"/>
    </row>
    <row r="12" spans="2:44" ht="36.75" customHeight="1">
      <c r="B12" s="117" t="str">
        <f>THG!B44</f>
        <v>CRF 5.B - biologische Behandlung von festen Abfällen</v>
      </c>
      <c r="C12" s="88" t="s">
        <v>61</v>
      </c>
      <c r="D12" s="100">
        <f>(THG!C44)/1000</f>
        <v>7.9060274999999985E-2</v>
      </c>
      <c r="E12" s="100">
        <f>(THG!D44)/1000</f>
        <v>9.4402664999999983E-2</v>
      </c>
      <c r="F12" s="100">
        <f>(THG!E44)/1000</f>
        <v>0.10974505500000001</v>
      </c>
      <c r="G12" s="100">
        <f>(THG!F44)/1000</f>
        <v>0.12508744499999999</v>
      </c>
      <c r="H12" s="100">
        <f>(THG!G44)/1000</f>
        <v>0.19739847739499999</v>
      </c>
      <c r="I12" s="100">
        <f>(THG!H44)/1000</f>
        <v>0.26970945760499992</v>
      </c>
      <c r="J12" s="100">
        <f>(THG!I44)/1000</f>
        <v>0.34202049000000001</v>
      </c>
      <c r="K12" s="100">
        <f>(THG!J44)/1000</f>
        <v>0.37646258999999999</v>
      </c>
      <c r="L12" s="100">
        <f>(THG!K44)/1000</f>
        <v>0.41484682896499997</v>
      </c>
      <c r="M12" s="100">
        <f>(THG!L44)/1000</f>
        <v>0.48131689241999992</v>
      </c>
      <c r="N12" s="100">
        <f>(THG!M44)/1000</f>
        <v>0.55392136240000001</v>
      </c>
      <c r="O12" s="100">
        <f>(THG!N44)/1000</f>
        <v>0.56630654673999992</v>
      </c>
      <c r="P12" s="100">
        <f>(THG!O44)/1000</f>
        <v>0.67713171874999989</v>
      </c>
      <c r="Q12" s="100">
        <f>(THG!P44)/1000</f>
        <v>0.68368848792499992</v>
      </c>
      <c r="R12" s="100">
        <f>(THG!Q44)/1000</f>
        <v>0.69866040886999992</v>
      </c>
      <c r="S12" s="100">
        <f>(THG!R44)/1000</f>
        <v>0.69139955535999997</v>
      </c>
      <c r="T12" s="100">
        <f>(THG!S44)/1000</f>
        <v>0.70470371102000007</v>
      </c>
      <c r="U12" s="100">
        <f>(THG!T44)/1000</f>
        <v>0.75406627033999984</v>
      </c>
      <c r="V12" s="100">
        <f>(THG!U44)/1000</f>
        <v>0.7431253778200001</v>
      </c>
      <c r="W12" s="100">
        <f>(THG!V44)/1000</f>
        <v>0.76269703759999996</v>
      </c>
      <c r="X12" s="100">
        <f>(THG!W44)/1000</f>
        <v>0.75787296166000007</v>
      </c>
      <c r="Y12" s="100">
        <f>(THG!X44)/1000</f>
        <v>0.84886990368000004</v>
      </c>
      <c r="Z12" s="100">
        <f>(THG!Y44)/1000</f>
        <v>0.88514523103999976</v>
      </c>
      <c r="AA12" s="100">
        <f>(THG!Z44)/1000</f>
        <v>0.87896271961999994</v>
      </c>
      <c r="AB12" s="100">
        <f>(THG!AA44)/1000</f>
        <v>0.95098706046000003</v>
      </c>
      <c r="AC12" s="100">
        <f>(THG!AB44)/1000</f>
        <v>0.95283242503999988</v>
      </c>
      <c r="AD12" s="100">
        <f>(THG!AC44)/1000</f>
        <v>0.97731824433999992</v>
      </c>
      <c r="AE12" s="100">
        <f>(THG!AD44)/1000</f>
        <v>0.99279035799999993</v>
      </c>
      <c r="AF12" s="100">
        <f>(THG!AE44)/1000</f>
        <v>0.96334625699999987</v>
      </c>
      <c r="AG12" s="100">
        <f>(THG!AF44)/1000</f>
        <v>0.98143663149999993</v>
      </c>
      <c r="AH12" s="171">
        <f>(THG!AG44)/1000</f>
        <v>0.97974194749999988</v>
      </c>
      <c r="AI12" s="171">
        <f>(THG!AH44)/1000</f>
        <v>1.0580991975</v>
      </c>
      <c r="AJ12" s="171">
        <f>(THG!AI44)/1000</f>
        <v>1.0588407812249998</v>
      </c>
      <c r="AK12" s="171">
        <f>(THG!AJ44)/1000</f>
        <v>1.0793943275</v>
      </c>
      <c r="AL12" s="171">
        <f>(THG!AK44)/1000</f>
        <v>1.1126117874999999</v>
      </c>
      <c r="AM12" s="171">
        <f>(THG!AL44)/1000</f>
        <v>1.1126117874999999</v>
      </c>
      <c r="AN12" s="90"/>
      <c r="AO12" s="90"/>
      <c r="AP12" s="90"/>
      <c r="AQ12" s="90"/>
      <c r="AR12" s="90"/>
    </row>
    <row r="13" spans="2:44" ht="36.75" customHeight="1">
      <c r="B13" s="118" t="str">
        <f>THG!B45</f>
        <v>CRF 5.D - Abwasserbehandlung</v>
      </c>
      <c r="C13" s="101" t="s">
        <v>61</v>
      </c>
      <c r="D13" s="99">
        <f>(THG!C45)/1000</f>
        <v>4.2798959346849514</v>
      </c>
      <c r="E13" s="99">
        <f>(THG!D45)/1000</f>
        <v>3.6794842454642422</v>
      </c>
      <c r="F13" s="99">
        <f>(THG!E45)/1000</f>
        <v>3.312691734579265</v>
      </c>
      <c r="G13" s="99">
        <f>(THG!F45)/1000</f>
        <v>3.1312671263957346</v>
      </c>
      <c r="H13" s="99">
        <f>(THG!G45)/1000</f>
        <v>2.9215954551110235</v>
      </c>
      <c r="I13" s="99">
        <f>(THG!H45)/1000</f>
        <v>2.9273219358980209</v>
      </c>
      <c r="J13" s="99">
        <f>(THG!I45)/1000</f>
        <v>2.845781755805576</v>
      </c>
      <c r="K13" s="99">
        <f>(THG!J45)/1000</f>
        <v>2.7619543266282207</v>
      </c>
      <c r="L13" s="99">
        <f>(THG!K45)/1000</f>
        <v>2.6787351992246768</v>
      </c>
      <c r="M13" s="99">
        <f>(THG!L45)/1000</f>
        <v>2.6726573888601144</v>
      </c>
      <c r="N13" s="99">
        <f>(THG!M45)/1000</f>
        <v>2.6659261831363921</v>
      </c>
      <c r="O13" s="99">
        <f>(THG!N45)/1000</f>
        <v>2.6538036990704166</v>
      </c>
      <c r="P13" s="99">
        <f>(THG!O45)/1000</f>
        <v>2.6238518773580752</v>
      </c>
      <c r="Q13" s="99">
        <f>(THG!P45)/1000</f>
        <v>2.5929636234763449</v>
      </c>
      <c r="R13" s="99">
        <f>(THG!Q45)/1000</f>
        <v>2.5636624770685952</v>
      </c>
      <c r="S13" s="99">
        <f>(THG!R45)/1000</f>
        <v>2.5392738085914361</v>
      </c>
      <c r="T13" s="99">
        <f>(THG!S45)/1000</f>
        <v>2.5099401820113361</v>
      </c>
      <c r="U13" s="99">
        <f>(THG!T45)/1000</f>
        <v>2.4803983401514471</v>
      </c>
      <c r="V13" s="99">
        <f>(THG!U45)/1000</f>
        <v>2.4478572891543018</v>
      </c>
      <c r="W13" s="99">
        <f>(THG!V45)/1000</f>
        <v>2.4150277933509625</v>
      </c>
      <c r="X13" s="99">
        <f>(THG!W45)/1000</f>
        <v>2.3825023084971879</v>
      </c>
      <c r="Y13" s="99">
        <f>(THG!X45)/1000</f>
        <v>2.3537194550504426</v>
      </c>
      <c r="Z13" s="99">
        <f>(THG!Y45)/1000</f>
        <v>2.3277045550581303</v>
      </c>
      <c r="AA13" s="99">
        <f>(THG!Z45)/1000</f>
        <v>2.3010193939879651</v>
      </c>
      <c r="AB13" s="99">
        <f>(THG!AA45)/1000</f>
        <v>2.2778632152236167</v>
      </c>
      <c r="AC13" s="99">
        <f>(THG!AB45)/1000</f>
        <v>2.2629020460248301</v>
      </c>
      <c r="AD13" s="99">
        <f>(THG!AC45)/1000</f>
        <v>2.2352887751851203</v>
      </c>
      <c r="AE13" s="99">
        <f>(THG!AD45)/1000</f>
        <v>2.2154060624799268</v>
      </c>
      <c r="AF13" s="99">
        <f>(THG!AE45)/1000</f>
        <v>2.1903116644533367</v>
      </c>
      <c r="AG13" s="99">
        <f>(THG!AF45)/1000</f>
        <v>2.165360966779355</v>
      </c>
      <c r="AH13" s="170">
        <f>(THG!AG45)/1000</f>
        <v>2.1331641466270175</v>
      </c>
      <c r="AI13" s="170">
        <f>(THG!AH45)/1000</f>
        <v>2.1341726388429589</v>
      </c>
      <c r="AJ13" s="170">
        <f>(THG!AI45)/1000</f>
        <v>2.1289705197154589</v>
      </c>
      <c r="AK13" s="170">
        <f>(THG!AJ45)/1000</f>
        <v>2.1368260010491444</v>
      </c>
      <c r="AL13" s="170">
        <f>(THG!AK45)/1000</f>
        <v>2.1392822603446073</v>
      </c>
      <c r="AM13" s="170">
        <f>(THG!AL45)/1000</f>
        <v>2.1376400189711497</v>
      </c>
      <c r="AN13" s="28"/>
      <c r="AO13" s="28"/>
      <c r="AP13" s="28"/>
      <c r="AQ13" s="28"/>
      <c r="AR13" s="28"/>
    </row>
    <row r="14" spans="2:44" ht="36.75" customHeight="1">
      <c r="B14" s="117" t="str">
        <f>THG!B46</f>
        <v>CRF 5.E - übrige Emissionen - Andere</v>
      </c>
      <c r="C14" s="88" t="s">
        <v>61</v>
      </c>
      <c r="D14" s="100">
        <f>(THG!C46)/1000</f>
        <v>0</v>
      </c>
      <c r="E14" s="100">
        <f>(THG!D46)/1000</f>
        <v>0</v>
      </c>
      <c r="F14" s="100">
        <f>(THG!E46)/1000</f>
        <v>0</v>
      </c>
      <c r="G14" s="100">
        <f>(THG!F46)/1000</f>
        <v>0</v>
      </c>
      <c r="H14" s="100">
        <f>(THG!G46)/1000</f>
        <v>0</v>
      </c>
      <c r="I14" s="100">
        <f>(THG!H46)/1000</f>
        <v>1.0446324999999999E-2</v>
      </c>
      <c r="J14" s="100">
        <f>(THG!I46)/1000</f>
        <v>2.1697414004499999E-2</v>
      </c>
      <c r="K14" s="100">
        <f>(THG!J46)/1000</f>
        <v>3.3752985364875004E-2</v>
      </c>
      <c r="L14" s="100">
        <f>(THG!K46)/1000</f>
        <v>4.6613508495499993E-2</v>
      </c>
      <c r="M14" s="100">
        <f>(THG!L46)/1000</f>
        <v>6.0278795630625E-2</v>
      </c>
      <c r="N14" s="100">
        <f>(THG!M46)/1000</f>
        <v>8.1052486915784996E-2</v>
      </c>
      <c r="O14" s="100">
        <f>(THG!N46)/1000</f>
        <v>9.0238102482127505E-2</v>
      </c>
      <c r="P14" s="100">
        <f>(THG!O46)/1000</f>
        <v>0.10766078375</v>
      </c>
      <c r="Q14" s="100">
        <f>(THG!P46)/1000</f>
        <v>0.1174169259375</v>
      </c>
      <c r="R14" s="100">
        <f>(THG!Q46)/1000</f>
        <v>0.13321064937499999</v>
      </c>
      <c r="S14" s="100">
        <f>(THG!R46)/1000</f>
        <v>0.239388975</v>
      </c>
      <c r="T14" s="100">
        <f>(THG!S46)/1000</f>
        <v>3.2470927980000001E-2</v>
      </c>
      <c r="U14" s="100">
        <f>(THG!T46)/1000</f>
        <v>3.283448043E-2</v>
      </c>
      <c r="V14" s="100">
        <f>(THG!U46)/1000</f>
        <v>3.467151534E-2</v>
      </c>
      <c r="W14" s="100">
        <f>(THG!V46)/1000</f>
        <v>3.5415264809999999E-2</v>
      </c>
      <c r="X14" s="100">
        <f>(THG!W46)/1000</f>
        <v>3.6388534139999998E-2</v>
      </c>
      <c r="Y14" s="100">
        <f>(THG!X46)/1000</f>
        <v>3.919445823E-2</v>
      </c>
      <c r="Z14" s="100">
        <f>(THG!Y46)/1000</f>
        <v>3.7363555530000002E-2</v>
      </c>
      <c r="AA14" s="100">
        <f>(THG!Z46)/1000</f>
        <v>3.6500665979999992E-2</v>
      </c>
      <c r="AB14" s="100">
        <f>(THG!AA46)/1000</f>
        <v>3.6857210189999996E-2</v>
      </c>
      <c r="AC14" s="100">
        <f>(THG!AB46)/1000</f>
        <v>3.5897957339999995E-2</v>
      </c>
      <c r="AD14" s="100">
        <f>(THG!AC46)/1000</f>
        <v>3.4584788370000001E-2</v>
      </c>
      <c r="AE14" s="100">
        <f>(THG!AD46)/1000</f>
        <v>3.3490626900000001E-2</v>
      </c>
      <c r="AF14" s="100">
        <f>(THG!AE46)/1000</f>
        <v>3.3033339239999994E-2</v>
      </c>
      <c r="AG14" s="100">
        <f>(THG!AF46)/1000</f>
        <v>3.2802067319999996E-2</v>
      </c>
      <c r="AH14" s="171">
        <f>(THG!AG46)/1000</f>
        <v>3.2233523849999994E-2</v>
      </c>
      <c r="AI14" s="171">
        <f>(THG!AH46)/1000</f>
        <v>3.1459989359999989E-2</v>
      </c>
      <c r="AJ14" s="171">
        <f>(THG!AI46)/1000</f>
        <v>3.0101266830000001E-2</v>
      </c>
      <c r="AK14" s="171">
        <f>(THG!AJ46)/1000</f>
        <v>2.9180559299999999E-2</v>
      </c>
      <c r="AL14" s="171">
        <f>(THG!AK46)/1000</f>
        <v>2.8259851769999997E-2</v>
      </c>
      <c r="AM14" s="171">
        <f>(THG!AL46)/1000</f>
        <v>2.7339144239999998E-2</v>
      </c>
      <c r="AN14" s="90"/>
      <c r="AO14" s="90"/>
      <c r="AP14" s="90"/>
      <c r="AQ14" s="90"/>
      <c r="AR14" s="90"/>
    </row>
    <row r="15" spans="2:44" ht="18.75" customHeight="1">
      <c r="B15" s="5" t="str">
        <f>THG!B42</f>
        <v>6 - Abfallwirtschaft und Sonstiges</v>
      </c>
      <c r="C15" s="19" t="s">
        <v>61</v>
      </c>
      <c r="D15" s="20">
        <f>(THG!C42)/1000</f>
        <v>41.550208209684953</v>
      </c>
      <c r="E15" s="20">
        <f>(THG!D42)/1000</f>
        <v>43.096386910464247</v>
      </c>
      <c r="F15" s="20">
        <f>(THG!E42)/1000</f>
        <v>43.690552789579272</v>
      </c>
      <c r="G15" s="20">
        <f>(THG!F42)/1000</f>
        <v>43.410594571395734</v>
      </c>
      <c r="H15" s="20">
        <f>(THG!G42)/1000</f>
        <v>42.331817932506027</v>
      </c>
      <c r="I15" s="20">
        <f>(THG!H42)/1000</f>
        <v>41.064653718503017</v>
      </c>
      <c r="J15" s="20">
        <f>(THG!I42)/1000</f>
        <v>39.269523659810076</v>
      </c>
      <c r="K15" s="20">
        <f>(THG!J42)/1000</f>
        <v>35.964229901993093</v>
      </c>
      <c r="L15" s="20">
        <f>(THG!K42)/1000</f>
        <v>33.433339536685175</v>
      </c>
      <c r="M15" s="20">
        <f>(THG!L42)/1000</f>
        <v>31.44701707691074</v>
      </c>
      <c r="N15" s="20">
        <f>(THG!M42)/1000</f>
        <v>29.572460032452174</v>
      </c>
      <c r="O15" s="20">
        <f>(THG!N42)/1000</f>
        <v>27.56882034829254</v>
      </c>
      <c r="P15" s="20">
        <f>(THG!O42)/1000</f>
        <v>25.848040379858077</v>
      </c>
      <c r="Q15" s="20">
        <f>(THG!P42)/1000</f>
        <v>24.062269037338847</v>
      </c>
      <c r="R15" s="20">
        <f>(THG!Q42)/1000</f>
        <v>21.489217535313593</v>
      </c>
      <c r="S15" s="20">
        <f>(THG!R42)/1000</f>
        <v>19.830658338951437</v>
      </c>
      <c r="T15" s="20">
        <f>(THG!S42)/1000</f>
        <v>17.758310821011335</v>
      </c>
      <c r="U15" s="20">
        <f>(THG!T42)/1000</f>
        <v>16.236759090921446</v>
      </c>
      <c r="V15" s="20">
        <f>(THG!U42)/1000</f>
        <v>14.839270182314303</v>
      </c>
      <c r="W15" s="20">
        <f>(THG!V42)/1000</f>
        <v>13.445488095760965</v>
      </c>
      <c r="X15" s="20">
        <f>(THG!W42)/1000</f>
        <v>12.191951804297188</v>
      </c>
      <c r="Y15" s="20">
        <f>(THG!X42)/1000</f>
        <v>11.309311816960442</v>
      </c>
      <c r="Z15" s="20">
        <f>(THG!Y42)/1000</f>
        <v>10.483453341628131</v>
      </c>
      <c r="AA15" s="20">
        <f>(THG!Z42)/1000</f>
        <v>9.6877307795879641</v>
      </c>
      <c r="AB15" s="20">
        <f>(THG!AA42)/1000</f>
        <v>9.0623234858736179</v>
      </c>
      <c r="AC15" s="20">
        <f>(THG!AB42)/1000</f>
        <v>8.4434764284048285</v>
      </c>
      <c r="AD15" s="20">
        <f>(THG!AC42)/1000</f>
        <v>7.9043758078951205</v>
      </c>
      <c r="AE15" s="20">
        <f>(THG!AD42)/1000</f>
        <v>7.5258270473799262</v>
      </c>
      <c r="AF15" s="20">
        <f>(THG!AE42)/1000</f>
        <v>7.1312752606933367</v>
      </c>
      <c r="AG15" s="20">
        <f>(THG!AF42)/1000</f>
        <v>6.606323665599354</v>
      </c>
      <c r="AH15" s="163">
        <f>(THG!AG42)/1000</f>
        <v>6.1182356179770174</v>
      </c>
      <c r="AI15" s="163">
        <f>(THG!AH42)/1000</f>
        <v>5.9092398257029579</v>
      </c>
      <c r="AJ15" s="163">
        <f>(THG!AI42)/1000</f>
        <v>5.6498133677704585</v>
      </c>
      <c r="AK15" s="163">
        <f>(THG!AJ42)/1000</f>
        <v>5.4492808878491443</v>
      </c>
      <c r="AL15" s="163">
        <f>(THG!AK42)/1000</f>
        <v>5.2773098996146075</v>
      </c>
      <c r="AM15" s="163">
        <f>(THG!AL42)/1000</f>
        <v>5.1234909507111492</v>
      </c>
      <c r="AN15" s="26"/>
      <c r="AO15" s="26"/>
      <c r="AP15" s="26"/>
      <c r="AQ15" s="26"/>
      <c r="AR15" s="26"/>
    </row>
    <row r="16" spans="2:44" ht="18.75" customHeight="1">
      <c r="B16" s="89"/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166"/>
      <c r="AL16" s="166"/>
      <c r="AM16" s="90"/>
      <c r="AN16" s="90"/>
      <c r="AO16" s="90"/>
      <c r="AP16" s="90"/>
      <c r="AQ16" s="90"/>
      <c r="AR16" s="90"/>
    </row>
    <row r="17" spans="2:44" ht="18.75" customHeight="1">
      <c r="B17" s="5" t="s">
        <v>16</v>
      </c>
      <c r="C17" s="19" t="str">
        <f>'Daten Zielpfadgrafik'!C28</f>
        <v>aktueller Zielpfad**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163">
        <f>'Daten Zielpfadgrafik'!AH28</f>
        <v>9</v>
      </c>
      <c r="AI17" s="163">
        <f>'Daten Zielpfadgrafik'!AI28</f>
        <v>9</v>
      </c>
      <c r="AJ17" s="163">
        <f>'Daten Zielpfadgrafik'!AJ28</f>
        <v>8.5006613839937355</v>
      </c>
      <c r="AK17" s="163">
        <f>'Daten Zielpfadgrafik'!AK28</f>
        <v>8.8556929007255043</v>
      </c>
      <c r="AL17" s="163">
        <f>'Daten Zielpfadgrafik'!AL28</f>
        <v>8.3365028454172929</v>
      </c>
      <c r="AM17" s="163">
        <f>'Daten Zielpfadgrafik'!AM28</f>
        <v>8.8463683363844066</v>
      </c>
      <c r="AN17" s="163">
        <f>'Daten Zielpfadgrafik'!AN28</f>
        <v>8.5909438135190577</v>
      </c>
      <c r="AO17" s="163">
        <f>'Daten Zielpfadgrafik'!AO28</f>
        <v>8.5909438135190577</v>
      </c>
      <c r="AP17" s="163">
        <f>'Daten Zielpfadgrafik'!AP28</f>
        <v>7.5909438135190577</v>
      </c>
      <c r="AQ17" s="163">
        <f>'Daten Zielpfadgrafik'!AQ28</f>
        <v>7.5909438135190577</v>
      </c>
      <c r="AR17" s="163">
        <f>'Daten Zielpfadgrafik'!AR28</f>
        <v>6.5909438135190577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19AD-49C3-4253-A461-C4EDC13A79BF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227" t="s">
        <v>60</v>
      </c>
      <c r="Q2" s="228"/>
      <c r="R2" s="228"/>
      <c r="S2" s="228"/>
      <c r="T2" s="228"/>
      <c r="U2" s="228"/>
      <c r="V2" s="228"/>
      <c r="W2" s="228"/>
      <c r="X2" s="229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59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58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57</v>
      </c>
      <c r="S15" s="50"/>
      <c r="T15" s="50"/>
      <c r="U15" s="53" t="s">
        <v>57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230"/>
      <c r="E20" s="56"/>
      <c r="F20" s="230"/>
      <c r="G20" s="56"/>
      <c r="H20" s="230"/>
      <c r="I20" s="56"/>
      <c r="J20" s="230"/>
      <c r="K20" s="56"/>
      <c r="L20" s="230"/>
      <c r="M20" s="56"/>
      <c r="N20" s="54"/>
      <c r="O20" s="54"/>
    </row>
    <row r="21" spans="1:24" ht="11.25" customHeight="1">
      <c r="A21" s="56"/>
      <c r="B21" s="57"/>
      <c r="C21" s="56"/>
      <c r="D21" s="230"/>
      <c r="E21" s="56"/>
      <c r="F21" s="230"/>
      <c r="G21" s="56"/>
      <c r="H21" s="230"/>
      <c r="I21" s="56"/>
      <c r="J21" s="230"/>
      <c r="K21" s="56"/>
      <c r="L21" s="230"/>
      <c r="M21" s="56"/>
      <c r="N21" s="54"/>
      <c r="O21" s="54"/>
    </row>
    <row r="22" spans="1:24" ht="3.75" customHeight="1">
      <c r="A22" s="56"/>
      <c r="B22" s="57"/>
      <c r="C22" s="56"/>
      <c r="D22" s="93"/>
      <c r="E22" s="56"/>
      <c r="F22" s="93"/>
      <c r="G22" s="56"/>
      <c r="H22" s="93"/>
      <c r="I22" s="56"/>
      <c r="J22" s="93"/>
      <c r="K22" s="56"/>
      <c r="L22" s="93"/>
      <c r="M22" s="56"/>
      <c r="N22" s="54"/>
      <c r="O22" s="54"/>
    </row>
    <row r="23" spans="1:24" ht="9" customHeight="1">
      <c r="A23" s="56"/>
      <c r="B23" s="57"/>
      <c r="C23" s="56"/>
      <c r="D23" s="230"/>
      <c r="E23" s="56"/>
      <c r="F23" s="230"/>
      <c r="G23" s="56"/>
      <c r="H23" s="230"/>
      <c r="I23" s="56"/>
      <c r="J23" s="230"/>
      <c r="K23" s="56"/>
      <c r="L23" s="230"/>
      <c r="M23" s="56"/>
      <c r="N23" s="54"/>
      <c r="O23" s="54"/>
    </row>
    <row r="24" spans="1:24" ht="9" customHeight="1">
      <c r="A24" s="56"/>
      <c r="B24" s="57"/>
      <c r="C24" s="56"/>
      <c r="D24" s="230"/>
      <c r="E24" s="56"/>
      <c r="F24" s="230"/>
      <c r="G24" s="56"/>
      <c r="H24" s="230"/>
      <c r="I24" s="56"/>
      <c r="J24" s="230"/>
      <c r="K24" s="56"/>
      <c r="L24" s="230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625-DE34-4C36-8C8A-8EC57FD71687}">
  <dimension ref="B1:N17"/>
  <sheetViews>
    <sheetView showGridLines="0" topLeftCell="A3" zoomScale="90" zoomScaleNormal="90" zoomScalePageLayoutView="70" workbookViewId="0">
      <selection activeCell="A3" sqref="A3"/>
    </sheetView>
  </sheetViews>
  <sheetFormatPr baseColWidth="10" defaultColWidth="11.42578125" defaultRowHeight="15" outlineLevelCol="1"/>
  <cols>
    <col min="1" max="1" width="5.42578125" style="87" customWidth="1"/>
    <col min="2" max="2" width="34.140625" style="87" customWidth="1"/>
    <col min="3" max="3" width="12.85546875" style="87" customWidth="1"/>
    <col min="4" max="5" width="12.85546875" style="87" customWidth="1" outlineLevel="1"/>
    <col min="6" max="7" width="12.85546875" style="87" customWidth="1"/>
    <col min="8" max="9" width="6.7109375" style="87" customWidth="1"/>
    <col min="10" max="10" width="12.85546875" style="87" customWidth="1"/>
    <col min="11" max="12" width="12.85546875" style="87" customWidth="1" outlineLevel="1"/>
    <col min="13" max="14" width="12.85546875" style="87" customWidth="1"/>
    <col min="15" max="15" width="10.85546875" style="87" customWidth="1"/>
    <col min="16" max="16384" width="11.42578125" style="87"/>
  </cols>
  <sheetData>
    <row r="1" spans="2:14" hidden="1">
      <c r="C1" s="85"/>
      <c r="D1" s="85"/>
      <c r="E1" s="85"/>
      <c r="F1" s="85"/>
      <c r="G1" s="85"/>
      <c r="J1" s="85"/>
      <c r="K1" s="85"/>
      <c r="L1" s="85"/>
      <c r="M1" s="85"/>
      <c r="N1" s="85"/>
    </row>
    <row r="2" spans="2:14" ht="14.25" hidden="1" customHeight="1">
      <c r="B2" s="1"/>
      <c r="C2" s="85"/>
      <c r="D2" s="85"/>
      <c r="E2" s="85"/>
      <c r="F2" s="85"/>
      <c r="G2" s="85"/>
      <c r="J2" s="85"/>
      <c r="K2" s="85"/>
      <c r="L2" s="85"/>
      <c r="M2" s="85"/>
      <c r="N2" s="85"/>
    </row>
    <row r="3" spans="2:14" ht="15.75">
      <c r="B3" s="3" t="s">
        <v>86</v>
      </c>
      <c r="C3" s="23"/>
      <c r="D3" s="23"/>
      <c r="E3" s="3"/>
      <c r="F3" s="3"/>
      <c r="G3" s="3"/>
      <c r="J3" s="3"/>
      <c r="K3" s="3"/>
      <c r="L3" s="3"/>
      <c r="M3" s="3"/>
      <c r="N3" s="3"/>
    </row>
    <row r="4" spans="2:14" ht="15.75">
      <c r="B4" s="84" t="s">
        <v>194</v>
      </c>
      <c r="C4" s="23"/>
      <c r="D4" s="23"/>
      <c r="E4" s="3"/>
      <c r="F4" s="3"/>
      <c r="G4" s="3"/>
      <c r="J4" s="3"/>
      <c r="K4" s="3"/>
      <c r="L4" s="3"/>
      <c r="M4" s="3"/>
      <c r="N4" s="3"/>
    </row>
    <row r="5" spans="2:14" ht="18.75" customHeight="1">
      <c r="B5" s="125"/>
      <c r="C5" s="126"/>
      <c r="D5" s="126"/>
      <c r="E5" s="126"/>
      <c r="F5" s="126"/>
      <c r="G5" s="126"/>
      <c r="H5" s="127"/>
      <c r="I5" s="127"/>
      <c r="J5" s="126"/>
      <c r="K5" s="126"/>
      <c r="L5" s="126"/>
      <c r="M5" s="126"/>
      <c r="N5" s="126"/>
    </row>
    <row r="6" spans="2:14" ht="18.75" customHeight="1">
      <c r="B6" s="128"/>
      <c r="C6" s="235" t="s">
        <v>195</v>
      </c>
      <c r="D6" s="236"/>
      <c r="E6" s="236"/>
      <c r="F6" s="236"/>
      <c r="G6" s="237"/>
      <c r="H6" s="127"/>
      <c r="I6" s="127"/>
      <c r="J6" s="235" t="s">
        <v>196</v>
      </c>
      <c r="K6" s="236"/>
      <c r="L6" s="236"/>
      <c r="M6" s="236"/>
      <c r="N6" s="237"/>
    </row>
    <row r="7" spans="2:14" ht="18.75" customHeight="1">
      <c r="B7" s="4"/>
      <c r="C7" s="8" t="s">
        <v>87</v>
      </c>
      <c r="D7" s="224" t="s">
        <v>88</v>
      </c>
      <c r="E7" s="238"/>
      <c r="F7" s="238"/>
      <c r="G7" s="225"/>
      <c r="H7" s="127"/>
      <c r="I7" s="127"/>
      <c r="J7" s="8" t="s">
        <v>87</v>
      </c>
      <c r="K7" s="224" t="s">
        <v>88</v>
      </c>
      <c r="L7" s="238"/>
      <c r="M7" s="238"/>
      <c r="N7" s="225"/>
    </row>
    <row r="8" spans="2:14" ht="36.75" customHeight="1">
      <c r="B8" s="4" t="s">
        <v>76</v>
      </c>
      <c r="C8" s="129" t="s">
        <v>89</v>
      </c>
      <c r="D8" s="130" t="s">
        <v>90</v>
      </c>
      <c r="E8" s="130" t="s">
        <v>91</v>
      </c>
      <c r="F8" s="129" t="s">
        <v>92</v>
      </c>
      <c r="G8" s="129" t="s">
        <v>93</v>
      </c>
      <c r="J8" s="129" t="s">
        <v>89</v>
      </c>
      <c r="K8" s="130" t="s">
        <v>90</v>
      </c>
      <c r="L8" s="130" t="s">
        <v>91</v>
      </c>
      <c r="M8" s="129" t="s">
        <v>92</v>
      </c>
      <c r="N8" s="129" t="s">
        <v>93</v>
      </c>
    </row>
    <row r="9" spans="2:14" s="10" customFormat="1" ht="18.75" customHeight="1">
      <c r="B9" s="6" t="s">
        <v>8</v>
      </c>
      <c r="C9" s="164">
        <f>THG!AK9/1000</f>
        <v>189.69859171527955</v>
      </c>
      <c r="D9" s="131">
        <v>2.006769045007422</v>
      </c>
      <c r="E9" s="131">
        <v>2.006769045007422</v>
      </c>
      <c r="F9" s="81">
        <f t="shared" ref="F9:F16" si="0">G9/100*C9</f>
        <v>5.3836460328796338</v>
      </c>
      <c r="G9" s="169">
        <v>2.8380000000000001</v>
      </c>
      <c r="H9" s="87"/>
      <c r="I9" s="87"/>
      <c r="J9" s="25">
        <f>THG!AL9/1000</f>
        <v>189.08795293816465</v>
      </c>
      <c r="K9" s="131">
        <v>2.2074459495081644</v>
      </c>
      <c r="L9" s="131">
        <v>2.006769045007422</v>
      </c>
      <c r="M9" s="81">
        <f>N9/100*J9</f>
        <v>5.6410167636749877</v>
      </c>
      <c r="N9" s="81">
        <f>SQRT(K9^2+L9^2)</f>
        <v>2.983276658307104</v>
      </c>
    </row>
    <row r="10" spans="2:14" s="10" customFormat="1" ht="18.75" customHeight="1">
      <c r="B10" s="5" t="s">
        <v>9</v>
      </c>
      <c r="C10" s="26">
        <f>THG!AK14/1000</f>
        <v>149.76712492260268</v>
      </c>
      <c r="D10" s="132">
        <v>1.2891232560274324</v>
      </c>
      <c r="E10" s="132">
        <v>1.9336848840411487</v>
      </c>
      <c r="F10" s="20">
        <f t="shared" si="0"/>
        <v>3.4805879832012856</v>
      </c>
      <c r="G10" s="163">
        <v>2.3239999999999998</v>
      </c>
      <c r="H10" s="87"/>
      <c r="I10" s="87"/>
      <c r="J10" s="26">
        <f>THG!AL14/1000</f>
        <v>144.14168907995369</v>
      </c>
      <c r="K10" s="132">
        <v>1.6758602328356622</v>
      </c>
      <c r="L10" s="132">
        <v>1.9336848840411487</v>
      </c>
      <c r="M10" s="20">
        <f t="shared" ref="M10:M15" si="1">N10/100*J10</f>
        <v>3.688350297520286</v>
      </c>
      <c r="N10" s="20">
        <f t="shared" ref="N10:N15" si="2">SQRT(K10^2+L10^2)</f>
        <v>2.5588366010297006</v>
      </c>
    </row>
    <row r="11" spans="2:14" s="10" customFormat="1" ht="18.75" customHeight="1">
      <c r="B11" s="6" t="s">
        <v>10</v>
      </c>
      <c r="C11" s="25">
        <f>THG!AK21/1000</f>
        <v>99.998028143157129</v>
      </c>
      <c r="D11" s="131">
        <v>3.1269174597357061</v>
      </c>
      <c r="E11" s="131">
        <v>6.2538349194714122</v>
      </c>
      <c r="F11" s="81">
        <f t="shared" si="0"/>
        <v>6.9918621277695463</v>
      </c>
      <c r="G11" s="169">
        <v>6.992</v>
      </c>
      <c r="H11" s="87"/>
      <c r="I11" s="87"/>
      <c r="J11" s="25">
        <f>THG!AL21/1000</f>
        <v>103.36586664073803</v>
      </c>
      <c r="K11" s="131">
        <v>4.6903761896035592</v>
      </c>
      <c r="L11" s="131">
        <v>6.2538349194714122</v>
      </c>
      <c r="M11" s="81">
        <f t="shared" si="1"/>
        <v>8.0804133284909092</v>
      </c>
      <c r="N11" s="81">
        <f t="shared" si="2"/>
        <v>7.8172936493392653</v>
      </c>
    </row>
    <row r="12" spans="2:14" s="10" customFormat="1" ht="18.75" customHeight="1">
      <c r="B12" s="5" t="s">
        <v>14</v>
      </c>
      <c r="C12" s="165">
        <f>THG!AK26/1000</f>
        <v>144.18232724657935</v>
      </c>
      <c r="D12" s="132">
        <v>2.2910752497462847</v>
      </c>
      <c r="E12" s="132">
        <v>4.5821504994925695</v>
      </c>
      <c r="F12" s="20">
        <f t="shared" si="0"/>
        <v>7.3864606248422611</v>
      </c>
      <c r="G12" s="163">
        <v>5.1230000000000002</v>
      </c>
      <c r="H12" s="87"/>
      <c r="I12" s="87"/>
      <c r="J12" s="26">
        <f>THG!AL26/1000</f>
        <v>146.30515581176434</v>
      </c>
      <c r="K12" s="132">
        <v>2.3598075072386733</v>
      </c>
      <c r="L12" s="132">
        <v>4.5821504994925695</v>
      </c>
      <c r="M12" s="20">
        <f t="shared" si="1"/>
        <v>7.5407208286745853</v>
      </c>
      <c r="N12" s="20">
        <f t="shared" si="2"/>
        <v>5.1541046430219097</v>
      </c>
    </row>
    <row r="13" spans="2:14" s="10" customFormat="1" ht="18.75" customHeight="1">
      <c r="B13" s="6" t="s">
        <v>15</v>
      </c>
      <c r="C13" s="164">
        <f>THG!AK32/1000</f>
        <v>60.846136464729106</v>
      </c>
      <c r="D13" s="131">
        <v>2.5828494997698836</v>
      </c>
      <c r="E13" s="131">
        <v>12.914247498849418</v>
      </c>
      <c r="F13" s="81">
        <f t="shared" si="0"/>
        <v>8.0134361724048233</v>
      </c>
      <c r="G13" s="169">
        <v>13.17</v>
      </c>
      <c r="H13" s="87"/>
      <c r="I13" s="87"/>
      <c r="J13" s="25">
        <f>THG!AL32/1000</f>
        <v>60.842481207611776</v>
      </c>
      <c r="K13" s="131">
        <v>2.8411344497468725</v>
      </c>
      <c r="L13" s="131">
        <v>12.914247498849418</v>
      </c>
      <c r="M13" s="81">
        <f t="shared" si="1"/>
        <v>8.0452497049415594</v>
      </c>
      <c r="N13" s="81">
        <f t="shared" si="2"/>
        <v>13.223079574103641</v>
      </c>
    </row>
    <row r="14" spans="2:14" s="10" customFormat="1" ht="18.75" customHeight="1">
      <c r="B14" s="5" t="s">
        <v>16</v>
      </c>
      <c r="C14" s="165">
        <f>THG!AK42/1000</f>
        <v>5.2773098996146075</v>
      </c>
      <c r="D14" s="132">
        <v>30.508022098231049</v>
      </c>
      <c r="E14" s="132">
        <v>152.54011049115525</v>
      </c>
      <c r="F14" s="20">
        <f t="shared" si="0"/>
        <v>8.2094360529394805</v>
      </c>
      <c r="G14" s="163">
        <v>155.56100000000001</v>
      </c>
      <c r="H14" s="87"/>
      <c r="I14" s="87"/>
      <c r="J14" s="26">
        <f>THG!AL42/1000</f>
        <v>5.1234909507111492</v>
      </c>
      <c r="K14" s="132">
        <v>33.558824308054156</v>
      </c>
      <c r="L14" s="132">
        <v>152.54011049115525</v>
      </c>
      <c r="M14" s="20">
        <f t="shared" si="1"/>
        <v>8.002276185095182</v>
      </c>
      <c r="N14" s="20">
        <f t="shared" si="2"/>
        <v>156.18796367707947</v>
      </c>
    </row>
    <row r="15" spans="2:14" s="10" customFormat="1" ht="18.75" customHeight="1">
      <c r="B15" s="6" t="s">
        <v>72</v>
      </c>
      <c r="C15" s="164">
        <f>THG!AK48/1000</f>
        <v>57.838852658972982</v>
      </c>
      <c r="D15" s="131">
        <v>4.8303404084534725</v>
      </c>
      <c r="E15" s="131">
        <v>24.151702042267363</v>
      </c>
      <c r="F15" s="81">
        <f t="shared" si="0"/>
        <v>14.245709409905045</v>
      </c>
      <c r="G15" s="169">
        <v>24.63</v>
      </c>
      <c r="H15" s="87"/>
      <c r="I15" s="87"/>
      <c r="J15" s="25">
        <f>THG!AL48/1000</f>
        <v>26.855101385108597</v>
      </c>
      <c r="K15" s="131">
        <v>6.2794425309895141</v>
      </c>
      <c r="L15" s="131">
        <v>24.151702042267363</v>
      </c>
      <c r="M15" s="81">
        <f t="shared" si="1"/>
        <v>6.7016049163849019</v>
      </c>
      <c r="N15" s="81">
        <f t="shared" si="2"/>
        <v>24.954681124760171</v>
      </c>
    </row>
    <row r="16" spans="2:14" s="10" customFormat="1" ht="18.75" customHeight="1">
      <c r="B16" s="133" t="s">
        <v>82</v>
      </c>
      <c r="C16" s="134">
        <f>SUM(C9:C14)</f>
        <v>649.76951839196227</v>
      </c>
      <c r="D16" s="135"/>
      <c r="E16" s="135"/>
      <c r="F16" s="136">
        <f t="shared" si="0"/>
        <v>16.803039745616143</v>
      </c>
      <c r="G16" s="136">
        <v>2.5859999999999999</v>
      </c>
      <c r="H16" s="87"/>
      <c r="I16" s="87"/>
      <c r="J16" s="134">
        <f>SUM(J9:J14)</f>
        <v>648.86663662894364</v>
      </c>
      <c r="K16" s="135"/>
      <c r="L16" s="135"/>
      <c r="M16" s="136">
        <f>N16/100*J16</f>
        <v>17.214616323866888</v>
      </c>
      <c r="N16" s="136">
        <f>SQRT((J9*N9)^2+(J10*N10)^2+(J11*N11)^2+(J12*N12)^2+(J13*N13)^2+(J14*N14)^2)/J16</f>
        <v>2.6530284271205513</v>
      </c>
    </row>
    <row r="17" ht="18.75" customHeight="1"/>
  </sheetData>
  <mergeCells count="4">
    <mergeCell ref="C6:G6"/>
    <mergeCell ref="J6:N6"/>
    <mergeCell ref="D7:G7"/>
    <mergeCell ref="K7:N7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P43"/>
  <sheetViews>
    <sheetView showGridLines="0" zoomScaleNormal="100" zoomScalePageLayoutView="70" workbookViewId="0">
      <selection activeCell="B3" sqref="B3"/>
    </sheetView>
  </sheetViews>
  <sheetFormatPr baseColWidth="10" defaultColWidth="11.42578125" defaultRowHeight="15" outlineLevelRow="1" outlineLevelCol="3"/>
  <cols>
    <col min="1" max="1" width="5.42578125" style="87" customWidth="1"/>
    <col min="2" max="2" width="37.140625" style="87" customWidth="1"/>
    <col min="3" max="3" width="16.7109375" style="16" hidden="1" customWidth="1"/>
    <col min="4" max="4" width="10.85546875" style="87" customWidth="1"/>
    <col min="5" max="8" width="10.85546875" style="87" hidden="1" customWidth="1" outlineLevel="2"/>
    <col min="9" max="9" width="10.85546875" style="87" hidden="1" customWidth="1" outlineLevel="1"/>
    <col min="10" max="13" width="10.85546875" style="87" hidden="1" customWidth="1" outlineLevel="2"/>
    <col min="14" max="14" width="10.85546875" style="87" customWidth="1" collapsed="1"/>
    <col min="15" max="18" width="10.85546875" style="87" hidden="1" customWidth="1" outlineLevel="3"/>
    <col min="19" max="19" width="10.85546875" style="87" hidden="1" customWidth="1" outlineLevel="2" collapsed="1"/>
    <col min="20" max="23" width="10.85546875" style="87" hidden="1" customWidth="1" outlineLevel="3"/>
    <col min="24" max="24" width="10.85546875" style="87" customWidth="1" collapsed="1"/>
    <col min="25" max="28" width="10.85546875" style="87" hidden="1" customWidth="1" outlineLevel="1"/>
    <col min="29" max="29" width="10.85546875" style="87" customWidth="1" collapsed="1"/>
    <col min="30" max="33" width="10.85546875" style="87" hidden="1" customWidth="1" outlineLevel="1"/>
    <col min="34" max="34" width="10.85546875" style="87" customWidth="1" collapsed="1"/>
    <col min="35" max="35" width="10.85546875" style="87" customWidth="1"/>
    <col min="36" max="39" width="10.85546875" style="149" customWidth="1"/>
    <col min="40" max="40" width="2.7109375" style="87" customWidth="1"/>
    <col min="41" max="43" width="10.85546875" style="87" customWidth="1"/>
    <col min="44" max="16384" width="11.42578125" style="87"/>
  </cols>
  <sheetData>
    <row r="1" spans="2:42"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O1" s="85"/>
      <c r="AP1" s="85"/>
    </row>
    <row r="2" spans="2:42" ht="14.25" customHeight="1">
      <c r="B2" s="1"/>
      <c r="C2" s="11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O2" s="85"/>
      <c r="AP2" s="85"/>
    </row>
    <row r="3" spans="2:42" ht="31.5">
      <c r="B3" s="123" t="s">
        <v>85</v>
      </c>
      <c r="C3" s="12"/>
      <c r="D3" s="23"/>
      <c r="E3" s="2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O3" s="3"/>
      <c r="AP3" s="3"/>
    </row>
    <row r="4" spans="2:42" ht="18.75" customHeight="1">
      <c r="B4" s="3"/>
      <c r="C4" s="12"/>
      <c r="D4" s="23"/>
      <c r="E4" s="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O4" s="224" t="s">
        <v>192</v>
      </c>
      <c r="AP4" s="225"/>
    </row>
    <row r="5" spans="2:42" ht="18.75" customHeight="1">
      <c r="B5" s="4" t="s">
        <v>81</v>
      </c>
      <c r="C5" s="13"/>
      <c r="D5" s="8">
        <v>32874</v>
      </c>
      <c r="E5" s="8">
        <v>33239</v>
      </c>
      <c r="F5" s="8">
        <v>33604</v>
      </c>
      <c r="G5" s="8">
        <v>33970</v>
      </c>
      <c r="H5" s="8">
        <v>34335</v>
      </c>
      <c r="I5" s="8">
        <v>34700</v>
      </c>
      <c r="J5" s="8">
        <v>35065</v>
      </c>
      <c r="K5" s="8">
        <v>35431</v>
      </c>
      <c r="L5" s="8">
        <v>35796</v>
      </c>
      <c r="M5" s="8">
        <v>36161</v>
      </c>
      <c r="N5" s="8">
        <v>36526</v>
      </c>
      <c r="O5" s="8">
        <v>36892</v>
      </c>
      <c r="P5" s="8">
        <v>37257</v>
      </c>
      <c r="Q5" s="8">
        <v>37622</v>
      </c>
      <c r="R5" s="8">
        <v>37987</v>
      </c>
      <c r="S5" s="8">
        <v>38353</v>
      </c>
      <c r="T5" s="8">
        <v>38718</v>
      </c>
      <c r="U5" s="8">
        <v>39083</v>
      </c>
      <c r="V5" s="8">
        <v>39448</v>
      </c>
      <c r="W5" s="8">
        <v>39814</v>
      </c>
      <c r="X5" s="8">
        <v>40179</v>
      </c>
      <c r="Y5" s="8">
        <v>40544</v>
      </c>
      <c r="Z5" s="8">
        <v>40909</v>
      </c>
      <c r="AA5" s="8">
        <v>41275</v>
      </c>
      <c r="AB5" s="8">
        <v>41640</v>
      </c>
      <c r="AC5" s="8">
        <v>42005</v>
      </c>
      <c r="AD5" s="8">
        <v>42370</v>
      </c>
      <c r="AE5" s="8">
        <v>42736</v>
      </c>
      <c r="AF5" s="8">
        <v>43101</v>
      </c>
      <c r="AG5" s="8">
        <v>43466</v>
      </c>
      <c r="AH5" s="8">
        <v>43831</v>
      </c>
      <c r="AI5" s="8">
        <v>44197</v>
      </c>
      <c r="AJ5" s="154">
        <v>44562</v>
      </c>
      <c r="AK5" s="154">
        <v>44927</v>
      </c>
      <c r="AL5" s="154">
        <v>45292</v>
      </c>
      <c r="AM5" s="154">
        <v>45658</v>
      </c>
      <c r="AO5" s="8" t="s">
        <v>83</v>
      </c>
      <c r="AP5" s="8" t="s">
        <v>84</v>
      </c>
    </row>
    <row r="6" spans="2:42" s="10" customFormat="1" ht="18.75" customHeight="1">
      <c r="B6" s="6" t="s">
        <v>82</v>
      </c>
      <c r="C6" s="21" t="s">
        <v>3</v>
      </c>
      <c r="D6" s="25">
        <f>THG!C6</f>
        <v>1253127.9182571664</v>
      </c>
      <c r="E6" s="25">
        <f>THG!D6</f>
        <v>1206392.3108399943</v>
      </c>
      <c r="F6" s="25">
        <f>THG!E6</f>
        <v>1157977.0139793011</v>
      </c>
      <c r="G6" s="25">
        <f>THG!F6</f>
        <v>1148482.5943343353</v>
      </c>
      <c r="H6" s="25">
        <f>THG!G6</f>
        <v>1130813.9439873674</v>
      </c>
      <c r="I6" s="25">
        <f>THG!H6</f>
        <v>1123404.0740930766</v>
      </c>
      <c r="J6" s="25">
        <f>THG!I6</f>
        <v>1140199.9254759233</v>
      </c>
      <c r="K6" s="25">
        <f>THG!J6</f>
        <v>1104782.5700183255</v>
      </c>
      <c r="L6" s="25">
        <f>THG!K6</f>
        <v>1079982.5165141046</v>
      </c>
      <c r="M6" s="25">
        <f>THG!L6</f>
        <v>1045537.5288294533</v>
      </c>
      <c r="N6" s="25">
        <f>THG!M6</f>
        <v>1042998.2200712566</v>
      </c>
      <c r="O6" s="25">
        <f>THG!N6</f>
        <v>1057082.3478959845</v>
      </c>
      <c r="P6" s="25">
        <f>THG!O6</f>
        <v>1036657.9981250252</v>
      </c>
      <c r="Q6" s="25">
        <f>THG!P6</f>
        <v>1030538.7573645036</v>
      </c>
      <c r="R6" s="25">
        <f>THG!Q6</f>
        <v>1010676.3261823081</v>
      </c>
      <c r="S6" s="25">
        <f>THG!R6</f>
        <v>988947.49129220506</v>
      </c>
      <c r="T6" s="25">
        <f>THG!S6</f>
        <v>1001999.007896684</v>
      </c>
      <c r="U6" s="25">
        <f>THG!T6</f>
        <v>963510.85508296615</v>
      </c>
      <c r="V6" s="25">
        <f>THG!U6</f>
        <v>964925.11300799577</v>
      </c>
      <c r="W6" s="25">
        <f>THG!V6</f>
        <v>901284.53682444047</v>
      </c>
      <c r="X6" s="25">
        <f>THG!W6</f>
        <v>933249.92510833417</v>
      </c>
      <c r="Y6" s="25">
        <f>THG!X6</f>
        <v>907615.19746442605</v>
      </c>
      <c r="Z6" s="25">
        <f>THG!Y6</f>
        <v>916945.38514562685</v>
      </c>
      <c r="AA6" s="25">
        <f>THG!Z6</f>
        <v>936610.24843068339</v>
      </c>
      <c r="AB6" s="25">
        <f>THG!AA6</f>
        <v>895231.86610890087</v>
      </c>
      <c r="AC6" s="25">
        <f>THG!AB6</f>
        <v>898605.65289834433</v>
      </c>
      <c r="AD6" s="25">
        <f>THG!AC6</f>
        <v>899030.11520454078</v>
      </c>
      <c r="AE6" s="25">
        <f>THG!AD6</f>
        <v>886279.76281201269</v>
      </c>
      <c r="AF6" s="25">
        <f>THG!AE6</f>
        <v>850135.00067779701</v>
      </c>
      <c r="AG6" s="25">
        <f>THG!AF6</f>
        <v>798000.5287200493</v>
      </c>
      <c r="AH6" s="164">
        <f>THG!AG6</f>
        <v>730972.37165918807</v>
      </c>
      <c r="AI6" s="164">
        <f>THG!AH6</f>
        <v>762772.66693794425</v>
      </c>
      <c r="AJ6" s="164">
        <f>THG!AI6</f>
        <v>749266.42416825367</v>
      </c>
      <c r="AK6" s="164">
        <f>THG!AJ6</f>
        <v>669578.36046385881</v>
      </c>
      <c r="AL6" s="164">
        <f>THG!AK6</f>
        <v>649769.51839196251</v>
      </c>
      <c r="AM6" s="164">
        <f>THG!AL6</f>
        <v>648866.63662894361</v>
      </c>
      <c r="AO6" s="122">
        <f>AM6-AL6</f>
        <v>-902.88176301890053</v>
      </c>
      <c r="AP6" s="120">
        <f>IF(AM6&lt;&gt;0,AM6/AL6-1,0)</f>
        <v>-1.3895415796870703E-3</v>
      </c>
    </row>
    <row r="7" spans="2:42" s="10" customFormat="1" ht="18.75" customHeight="1">
      <c r="B7" s="22" t="s">
        <v>78</v>
      </c>
      <c r="C7" s="19" t="s">
        <v>3</v>
      </c>
      <c r="D7" s="26">
        <f>'CO2'!C6</f>
        <v>1054795.8567877922</v>
      </c>
      <c r="E7" s="26">
        <f>'CO2'!D6</f>
        <v>1016929.571760371</v>
      </c>
      <c r="F7" s="26">
        <f>'CO2'!E6</f>
        <v>969464.52703399805</v>
      </c>
      <c r="G7" s="26">
        <f>'CO2'!F6</f>
        <v>959385.31065078662</v>
      </c>
      <c r="H7" s="26">
        <f>'CO2'!G6</f>
        <v>943226.82139247633</v>
      </c>
      <c r="I7" s="26">
        <f>'CO2'!H6</f>
        <v>939932.59916167124</v>
      </c>
      <c r="J7" s="26">
        <f>'CO2'!I6</f>
        <v>959689.12170568854</v>
      </c>
      <c r="K7" s="26">
        <f>'CO2'!J6</f>
        <v>931507.13543972</v>
      </c>
      <c r="L7" s="26">
        <f>'CO2'!K6</f>
        <v>923497.66893947998</v>
      </c>
      <c r="M7" s="26">
        <f>'CO2'!L6</f>
        <v>895441.16971639055</v>
      </c>
      <c r="N7" s="26">
        <f>'CO2'!M6</f>
        <v>898974.4663910378</v>
      </c>
      <c r="O7" s="26">
        <f>'CO2'!N6</f>
        <v>915253.64422054437</v>
      </c>
      <c r="P7" s="26">
        <f>'CO2'!O6</f>
        <v>898833.17969091609</v>
      </c>
      <c r="Q7" s="26">
        <f>'CO2'!P6</f>
        <v>899538.09586480132</v>
      </c>
      <c r="R7" s="26">
        <f>'CO2'!Q6</f>
        <v>883451.06391710846</v>
      </c>
      <c r="S7" s="26">
        <f>'CO2'!R6</f>
        <v>866909.92751687684</v>
      </c>
      <c r="T7" s="26">
        <f>'CO2'!S6</f>
        <v>884925.25897636102</v>
      </c>
      <c r="U7" s="26">
        <f>'CO2'!T6</f>
        <v>845671.93677779485</v>
      </c>
      <c r="V7" s="26">
        <f>'CO2'!U6</f>
        <v>851006.14500006905</v>
      </c>
      <c r="W7" s="26">
        <f>'CO2'!V6</f>
        <v>789244.97431055456</v>
      </c>
      <c r="X7" s="26">
        <f>'CO2'!W6</f>
        <v>829787.02606039308</v>
      </c>
      <c r="Y7" s="26">
        <f>'CO2'!X6</f>
        <v>805770.60156535415</v>
      </c>
      <c r="Z7" s="26">
        <f>'CO2'!Y6</f>
        <v>814786.86233691708</v>
      </c>
      <c r="AA7" s="26">
        <f>'CO2'!Z6</f>
        <v>834504.3843373463</v>
      </c>
      <c r="AB7" s="26">
        <f>'CO2'!AA6</f>
        <v>794687.85329788947</v>
      </c>
      <c r="AC7" s="26">
        <f>'CO2'!AB6</f>
        <v>798770.58151312813</v>
      </c>
      <c r="AD7" s="26">
        <f>'CO2'!AC6</f>
        <v>800432.11210139561</v>
      </c>
      <c r="AE7" s="26">
        <f>'CO2'!AD6</f>
        <v>788560.85234872554</v>
      </c>
      <c r="AF7" s="26">
        <f>'CO2'!AE6</f>
        <v>758195.20751489699</v>
      </c>
      <c r="AG7" s="26">
        <f>'CO2'!AF6</f>
        <v>709773.25439592614</v>
      </c>
      <c r="AH7" s="165">
        <f>'CO2'!AG6</f>
        <v>646682.83549283445</v>
      </c>
      <c r="AI7" s="165">
        <f>'CO2'!AH6</f>
        <v>679946.26393260248</v>
      </c>
      <c r="AJ7" s="165">
        <f>'CO2'!AI6</f>
        <v>670016.66381198238</v>
      </c>
      <c r="AK7" s="165">
        <f>'CO2'!AJ6</f>
        <v>591373.01508470648</v>
      </c>
      <c r="AL7" s="165">
        <f>'CO2'!AK6</f>
        <v>573924.94487730123</v>
      </c>
      <c r="AM7" s="165">
        <f>'CO2'!AL6</f>
        <v>573544.7383271124</v>
      </c>
      <c r="AO7" s="121">
        <f>AM7-AL7</f>
        <v>-380.20655018882826</v>
      </c>
      <c r="AP7" s="119">
        <f>IF(AM7&lt;&gt;0,AM7/AL7-1,0)</f>
        <v>-6.6246737240205356E-4</v>
      </c>
    </row>
    <row r="8" spans="2:42" s="10" customFormat="1" ht="18.75" customHeight="1">
      <c r="B8" s="24" t="s">
        <v>79</v>
      </c>
      <c r="C8" s="21" t="s">
        <v>3</v>
      </c>
      <c r="D8" s="25">
        <f>'CH4'!C6</f>
        <v>133689.55874569755</v>
      </c>
      <c r="E8" s="25">
        <f>'CH4'!D6</f>
        <v>127416.62448685564</v>
      </c>
      <c r="F8" s="25">
        <f>'CH4'!E6</f>
        <v>123511.52344269793</v>
      </c>
      <c r="G8" s="25">
        <f>'CH4'!F6</f>
        <v>124408.12817186804</v>
      </c>
      <c r="H8" s="25">
        <f>'CH4'!G6</f>
        <v>119595.59581375567</v>
      </c>
      <c r="I8" s="25">
        <f>'CH4'!H6</f>
        <v>116975.42764450856</v>
      </c>
      <c r="J8" s="25">
        <f>'CH4'!I6</f>
        <v>113908.38181609492</v>
      </c>
      <c r="K8" s="25">
        <f>'CH4'!J6</f>
        <v>108702.55760192675</v>
      </c>
      <c r="L8" s="25">
        <f>'CH4'!K6</f>
        <v>102920.68445738812</v>
      </c>
      <c r="M8" s="25">
        <f>'CH4'!L6</f>
        <v>101718.51790817075</v>
      </c>
      <c r="N8" s="25">
        <f>'CH4'!M6</f>
        <v>97139.52142327468</v>
      </c>
      <c r="O8" s="25">
        <f>'CH4'!N6</f>
        <v>93016.495781346661</v>
      </c>
      <c r="P8" s="25">
        <f>'CH4'!O6</f>
        <v>88315.393476775149</v>
      </c>
      <c r="Q8" s="25">
        <f>'CH4'!P6</f>
        <v>84315.196586523947</v>
      </c>
      <c r="R8" s="25">
        <f>'CH4'!Q6</f>
        <v>77522.686756274023</v>
      </c>
      <c r="S8" s="25">
        <f>'CH4'!R6</f>
        <v>73593.125737385344</v>
      </c>
      <c r="T8" s="25">
        <f>'CH4'!S6</f>
        <v>69191.392363417675</v>
      </c>
      <c r="U8" s="25">
        <f>'CH4'!T6</f>
        <v>66650.568766289289</v>
      </c>
      <c r="V8" s="25">
        <f>'CH4'!U6</f>
        <v>65238.732313377412</v>
      </c>
      <c r="W8" s="25">
        <f>'CH4'!V6</f>
        <v>62376.018630451268</v>
      </c>
      <c r="X8" s="25">
        <f>'CH4'!W6</f>
        <v>60994.638904624029</v>
      </c>
      <c r="Y8" s="25">
        <f>'CH4'!X6</f>
        <v>59397.2599197245</v>
      </c>
      <c r="Z8" s="25">
        <f>'CH4'!Y6</f>
        <v>59734.482513832969</v>
      </c>
      <c r="AA8" s="25">
        <f>'CH4'!Z6</f>
        <v>58787.633070913143</v>
      </c>
      <c r="AB8" s="25">
        <f>'CH4'!AA6</f>
        <v>57264.733118159304</v>
      </c>
      <c r="AC8" s="25">
        <f>'CH4'!AB6</f>
        <v>56673.752291400146</v>
      </c>
      <c r="AD8" s="25">
        <f>'CH4'!AC6</f>
        <v>54945.073471856253</v>
      </c>
      <c r="AE8" s="25">
        <f>'CH4'!AD6</f>
        <v>54088.932837341301</v>
      </c>
      <c r="AF8" s="25">
        <f>'CH4'!AE6</f>
        <v>51836.401328914231</v>
      </c>
      <c r="AG8" s="25">
        <f>'CH4'!AF6</f>
        <v>49006.14637170457</v>
      </c>
      <c r="AH8" s="164">
        <f>'CH4'!AG6</f>
        <v>47774.664641774798</v>
      </c>
      <c r="AI8" s="164">
        <f>'CH4'!AH6</f>
        <v>46670.780590382768</v>
      </c>
      <c r="AJ8" s="164">
        <f>'CH4'!AI6</f>
        <v>45584.136306477711</v>
      </c>
      <c r="AK8" s="164">
        <f>'CH4'!AJ6</f>
        <v>44930.610401348371</v>
      </c>
      <c r="AL8" s="164">
        <f>'CH4'!AK6</f>
        <v>44120.080491486537</v>
      </c>
      <c r="AM8" s="164">
        <f>'CH4'!AL6</f>
        <v>43987.401945056845</v>
      </c>
      <c r="AO8" s="122">
        <f>AM8-AL8</f>
        <v>-132.67854642969178</v>
      </c>
      <c r="AP8" s="120">
        <f>IF(AM8&lt;&gt;0,AM8/AL8-1,0)</f>
        <v>-3.0072145143817952E-3</v>
      </c>
    </row>
    <row r="9" spans="2:42" s="10" customFormat="1" ht="18.75" customHeight="1">
      <c r="B9" s="22" t="s">
        <v>80</v>
      </c>
      <c r="C9" s="19" t="s">
        <v>3</v>
      </c>
      <c r="D9" s="26">
        <f>N2O!C6</f>
        <v>52317.272707020362</v>
      </c>
      <c r="E9" s="26">
        <f>N2O!D6</f>
        <v>50155.143298865485</v>
      </c>
      <c r="F9" s="26">
        <f>N2O!E6</f>
        <v>52617.952203822118</v>
      </c>
      <c r="G9" s="26">
        <f>N2O!F6</f>
        <v>49679.246990423351</v>
      </c>
      <c r="H9" s="26">
        <f>N2O!G6</f>
        <v>52541.105422350643</v>
      </c>
      <c r="I9" s="26">
        <f>N2O!H6</f>
        <v>50472.95498950663</v>
      </c>
      <c r="J9" s="26">
        <f>N2O!I6</f>
        <v>51384.765253361154</v>
      </c>
      <c r="K9" s="26">
        <f>N2O!J6</f>
        <v>49132.930302386994</v>
      </c>
      <c r="L9" s="26">
        <f>N2O!K6</f>
        <v>37625.295302717488</v>
      </c>
      <c r="M9" s="26">
        <f>N2O!L6</f>
        <v>34133.696300652438</v>
      </c>
      <c r="N9" s="26">
        <f>N2O!M6</f>
        <v>34177.218047047558</v>
      </c>
      <c r="O9" s="26">
        <f>N2O!N6</f>
        <v>35350.817960074935</v>
      </c>
      <c r="P9" s="26">
        <f>N2O!O6</f>
        <v>36015.741196154944</v>
      </c>
      <c r="Q9" s="26">
        <f>N2O!P6</f>
        <v>33662.572550502213</v>
      </c>
      <c r="R9" s="26">
        <f>N2O!Q6</f>
        <v>36263.991848680853</v>
      </c>
      <c r="S9" s="26">
        <f>N2O!R6</f>
        <v>34836.917114211916</v>
      </c>
      <c r="T9" s="26">
        <f>N2O!S6</f>
        <v>34348.875882413762</v>
      </c>
      <c r="U9" s="26">
        <f>N2O!T6</f>
        <v>37531.008823794873</v>
      </c>
      <c r="V9" s="26">
        <f>N2O!U6</f>
        <v>35044.729628652691</v>
      </c>
      <c r="W9" s="26">
        <f>N2O!V6</f>
        <v>35632.963383509217</v>
      </c>
      <c r="X9" s="26">
        <f>N2O!W6</f>
        <v>28785.013145010351</v>
      </c>
      <c r="Y9" s="26">
        <f>N2O!X6</f>
        <v>28559.779101086977</v>
      </c>
      <c r="Z9" s="26">
        <f>N2O!Y6</f>
        <v>28295.277462618433</v>
      </c>
      <c r="AA9" s="26">
        <f>N2O!Z6</f>
        <v>29123.557450836091</v>
      </c>
      <c r="AB9" s="26">
        <f>N2O!AA6</f>
        <v>29066.660268901789</v>
      </c>
      <c r="AC9" s="26">
        <f>N2O!AB6</f>
        <v>28544.479069539306</v>
      </c>
      <c r="AD9" s="26">
        <f>N2O!AC6</f>
        <v>29077.157318561683</v>
      </c>
      <c r="AE9" s="26">
        <f>N2O!AD6</f>
        <v>29132.619197473618</v>
      </c>
      <c r="AF9" s="26">
        <f>N2O!AE6</f>
        <v>26572.674907452547</v>
      </c>
      <c r="AG9" s="26">
        <f>N2O!AF6</f>
        <v>26512.853810597193</v>
      </c>
      <c r="AH9" s="165">
        <f>N2O!AG6</f>
        <v>25349.464816048276</v>
      </c>
      <c r="AI9" s="165">
        <f>N2O!AH6</f>
        <v>25656.166494198307</v>
      </c>
      <c r="AJ9" s="165">
        <f>N2O!AI6</f>
        <v>24094.678258944357</v>
      </c>
      <c r="AK9" s="165">
        <f>N2O!AJ6</f>
        <v>24240.040979405454</v>
      </c>
      <c r="AL9" s="165">
        <f>N2O!AK6</f>
        <v>22857.168442231839</v>
      </c>
      <c r="AM9" s="165">
        <f>N2O!AL6</f>
        <v>22600.464997864259</v>
      </c>
      <c r="AO9" s="121">
        <f>AM9-AL9</f>
        <v>-256.70344436758023</v>
      </c>
      <c r="AP9" s="119">
        <f>IF(AM9&lt;&gt;0,AM9/AL9-1,0)</f>
        <v>-1.1230763119953413E-2</v>
      </c>
    </row>
    <row r="10" spans="2:42" s="10" customFormat="1" ht="18.75" customHeight="1">
      <c r="B10" s="24" t="s">
        <v>67</v>
      </c>
      <c r="C10" s="21" t="s">
        <v>3</v>
      </c>
      <c r="D10" s="25">
        <f>'F-Gase'!C6</f>
        <v>12325.230016656433</v>
      </c>
      <c r="E10" s="25">
        <f>'F-Gase'!D6</f>
        <v>11890.971293902523</v>
      </c>
      <c r="F10" s="25">
        <f>'F-Gase'!E6</f>
        <v>12383.011298783038</v>
      </c>
      <c r="G10" s="25">
        <f>'F-Gase'!F6</f>
        <v>15009.908521257143</v>
      </c>
      <c r="H10" s="25">
        <f>'F-Gase'!G6</f>
        <v>15450.421358784681</v>
      </c>
      <c r="I10" s="25">
        <f>'F-Gase'!H6</f>
        <v>16023.092297390234</v>
      </c>
      <c r="J10" s="25">
        <f>'F-Gase'!I6</f>
        <v>15217.656700779098</v>
      </c>
      <c r="K10" s="25">
        <f>'F-Gase'!J6</f>
        <v>15439.946674291648</v>
      </c>
      <c r="L10" s="25">
        <f>'F-Gase'!K6</f>
        <v>15938.867814518846</v>
      </c>
      <c r="M10" s="25">
        <f>'F-Gase'!L6</f>
        <v>14244.144904239463</v>
      </c>
      <c r="N10" s="25">
        <f>'F-Gase'!M6</f>
        <v>12707.014209896866</v>
      </c>
      <c r="O10" s="25">
        <f>'F-Gase'!N6</f>
        <v>13461.389934018407</v>
      </c>
      <c r="P10" s="25">
        <f>'F-Gase'!O6</f>
        <v>13493.683761178887</v>
      </c>
      <c r="Q10" s="25">
        <f>'F-Gase'!P6</f>
        <v>13022.892362675928</v>
      </c>
      <c r="R10" s="25">
        <f>'F-Gase'!Q6</f>
        <v>13438.58366024494</v>
      </c>
      <c r="S10" s="25">
        <f>'F-Gase'!R6</f>
        <v>13607.520923730894</v>
      </c>
      <c r="T10" s="25">
        <f>'F-Gase'!S6</f>
        <v>13533.480674491555</v>
      </c>
      <c r="U10" s="25">
        <f>'F-Gase'!T6</f>
        <v>13657.340715087134</v>
      </c>
      <c r="V10" s="25">
        <f>'F-Gase'!U6</f>
        <v>13635.506065896407</v>
      </c>
      <c r="W10" s="25">
        <f>'F-Gase'!V6</f>
        <v>14030.580499925227</v>
      </c>
      <c r="X10" s="25">
        <f>'F-Gase'!W6</f>
        <v>13683.246998306735</v>
      </c>
      <c r="Y10" s="25">
        <f>'F-Gase'!X6</f>
        <v>13887.556878260519</v>
      </c>
      <c r="Z10" s="25">
        <f>'F-Gase'!Y6</f>
        <v>14128.76283225833</v>
      </c>
      <c r="AA10" s="25">
        <f>'F-Gase'!Z6</f>
        <v>14194.673571587844</v>
      </c>
      <c r="AB10" s="25">
        <f>'F-Gase'!AA6</f>
        <v>14212.619423950418</v>
      </c>
      <c r="AC10" s="25">
        <f>'F-Gase'!AB6</f>
        <v>14616.840024276675</v>
      </c>
      <c r="AD10" s="25">
        <f>'F-Gase'!AC6</f>
        <v>14575.772312727169</v>
      </c>
      <c r="AE10" s="25">
        <f>'F-Gase'!AD6</f>
        <v>14497.358428472187</v>
      </c>
      <c r="AF10" s="25">
        <f>'F-Gase'!AE6</f>
        <v>13530.71692653332</v>
      </c>
      <c r="AG10" s="25">
        <f>'F-Gase'!AF6</f>
        <v>12708.274141821457</v>
      </c>
      <c r="AH10" s="164">
        <f>'F-Gase'!AG6</f>
        <v>11165.406708530529</v>
      </c>
      <c r="AI10" s="164">
        <f>'F-Gase'!AH6</f>
        <v>10499.455920760818</v>
      </c>
      <c r="AJ10" s="164">
        <f>'F-Gase'!AI6</f>
        <v>9570.9457908492641</v>
      </c>
      <c r="AK10" s="164">
        <f>'F-Gase'!AJ6</f>
        <v>9034.6939983984776</v>
      </c>
      <c r="AL10" s="164">
        <f>'F-Gase'!AK6</f>
        <v>8867.3245809426971</v>
      </c>
      <c r="AM10" s="164">
        <f>'F-Gase'!AL6</f>
        <v>8734.031358910177</v>
      </c>
      <c r="AO10" s="122">
        <f>AM10-AL10</f>
        <v>-133.29322203252013</v>
      </c>
      <c r="AP10" s="120">
        <f>IF(AM10&lt;&gt;0,AM10/AL10-1,0)</f>
        <v>-1.5031954770099221E-2</v>
      </c>
    </row>
    <row r="11" spans="2:42" ht="18.75" customHeight="1">
      <c r="B11" s="22"/>
      <c r="C11" s="1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165"/>
      <c r="AI11" s="165"/>
      <c r="AJ11" s="165"/>
      <c r="AK11" s="165"/>
      <c r="AL11" s="165"/>
      <c r="AM11" s="165"/>
      <c r="AN11" s="10"/>
      <c r="AO11" s="121"/>
      <c r="AP11" s="119"/>
    </row>
    <row r="12" spans="2:42" ht="18.75" customHeight="1">
      <c r="B12" s="4" t="s">
        <v>76</v>
      </c>
      <c r="C12" s="13"/>
      <c r="D12" s="8">
        <v>32874</v>
      </c>
      <c r="E12" s="8">
        <v>33239</v>
      </c>
      <c r="F12" s="8">
        <v>33604</v>
      </c>
      <c r="G12" s="8">
        <v>33970</v>
      </c>
      <c r="H12" s="8">
        <v>34335</v>
      </c>
      <c r="I12" s="8">
        <v>34700</v>
      </c>
      <c r="J12" s="8">
        <v>35065</v>
      </c>
      <c r="K12" s="8">
        <v>35431</v>
      </c>
      <c r="L12" s="8">
        <v>35796</v>
      </c>
      <c r="M12" s="8">
        <v>36161</v>
      </c>
      <c r="N12" s="8">
        <v>36526</v>
      </c>
      <c r="O12" s="8">
        <v>36892</v>
      </c>
      <c r="P12" s="8">
        <v>37257</v>
      </c>
      <c r="Q12" s="8">
        <v>37622</v>
      </c>
      <c r="R12" s="8">
        <v>37987</v>
      </c>
      <c r="S12" s="8">
        <v>38353</v>
      </c>
      <c r="T12" s="8">
        <v>38718</v>
      </c>
      <c r="U12" s="8">
        <v>39083</v>
      </c>
      <c r="V12" s="8">
        <v>39448</v>
      </c>
      <c r="W12" s="8">
        <v>39814</v>
      </c>
      <c r="X12" s="8">
        <v>40179</v>
      </c>
      <c r="Y12" s="8">
        <v>40544</v>
      </c>
      <c r="Z12" s="8">
        <v>40909</v>
      </c>
      <c r="AA12" s="8">
        <v>41275</v>
      </c>
      <c r="AB12" s="8">
        <v>41640</v>
      </c>
      <c r="AC12" s="8">
        <v>42005</v>
      </c>
      <c r="AD12" s="8">
        <v>42370</v>
      </c>
      <c r="AE12" s="8">
        <v>42736</v>
      </c>
      <c r="AF12" s="8">
        <v>43101</v>
      </c>
      <c r="AG12" s="8">
        <v>43466</v>
      </c>
      <c r="AH12" s="154">
        <v>43831</v>
      </c>
      <c r="AI12" s="154">
        <v>44197</v>
      </c>
      <c r="AJ12" s="154">
        <v>44562</v>
      </c>
      <c r="AK12" s="154">
        <v>44927</v>
      </c>
      <c r="AL12" s="154">
        <v>45292</v>
      </c>
      <c r="AM12" s="154">
        <v>45658</v>
      </c>
      <c r="AO12" s="8" t="s">
        <v>83</v>
      </c>
      <c r="AP12" s="8" t="s">
        <v>84</v>
      </c>
    </row>
    <row r="13" spans="2:42" s="10" customFormat="1" ht="18.75" customHeight="1">
      <c r="B13" s="6" t="s">
        <v>8</v>
      </c>
      <c r="C13" s="21" t="s">
        <v>3</v>
      </c>
      <c r="D13" s="25">
        <f>THG!C9</f>
        <v>474776.80337871826</v>
      </c>
      <c r="E13" s="25">
        <f>THG!D9</f>
        <v>459949.69694106851</v>
      </c>
      <c r="F13" s="25">
        <f>THG!E9</f>
        <v>435679.8886223163</v>
      </c>
      <c r="G13" s="25">
        <f>THG!F9</f>
        <v>425929.86593222641</v>
      </c>
      <c r="H13" s="25">
        <f>THG!G9</f>
        <v>420019.11236192664</v>
      </c>
      <c r="I13" s="25">
        <f>THG!H9</f>
        <v>406940.80164079944</v>
      </c>
      <c r="J13" s="25">
        <f>THG!I9</f>
        <v>412876.98466710915</v>
      </c>
      <c r="K13" s="25">
        <f>THG!J9</f>
        <v>391013.89023175917</v>
      </c>
      <c r="L13" s="25">
        <f>THG!K9</f>
        <v>390964.33555439627</v>
      </c>
      <c r="M13" s="25">
        <f>THG!L9</f>
        <v>379992.62346413964</v>
      </c>
      <c r="N13" s="25">
        <f>THG!M9</f>
        <v>390848.30928828631</v>
      </c>
      <c r="O13" s="25">
        <f>THG!N9</f>
        <v>400846.00433636975</v>
      </c>
      <c r="P13" s="25">
        <f>THG!O9</f>
        <v>400960.86881352036</v>
      </c>
      <c r="Q13" s="25">
        <f>THG!P9</f>
        <v>416977.62414876738</v>
      </c>
      <c r="R13" s="25">
        <f>THG!Q9</f>
        <v>411596.29070904118</v>
      </c>
      <c r="S13" s="25">
        <f>THG!R9</f>
        <v>402604.87927863363</v>
      </c>
      <c r="T13" s="25">
        <f>THG!S9</f>
        <v>403126.84418138344</v>
      </c>
      <c r="U13" s="25">
        <f>THG!T9</f>
        <v>405779.41336919012</v>
      </c>
      <c r="V13" s="25">
        <f>THG!U9</f>
        <v>388020.3640358363</v>
      </c>
      <c r="W13" s="25">
        <f>THG!V9</f>
        <v>362052.52022394584</v>
      </c>
      <c r="X13" s="25">
        <f>THG!W9</f>
        <v>372588.7773313013</v>
      </c>
      <c r="Y13" s="25">
        <f>THG!X9</f>
        <v>367936.8947441866</v>
      </c>
      <c r="Z13" s="25">
        <f>THG!Y9</f>
        <v>379783.9746737188</v>
      </c>
      <c r="AA13" s="25">
        <f>THG!Z9</f>
        <v>384368.39643022092</v>
      </c>
      <c r="AB13" s="25">
        <f>THG!AA9</f>
        <v>363022.10331471544</v>
      </c>
      <c r="AC13" s="25">
        <f>THG!AB9</f>
        <v>351692.1278761219</v>
      </c>
      <c r="AD13" s="25">
        <f>THG!AC9</f>
        <v>346388.66096609633</v>
      </c>
      <c r="AE13" s="25">
        <f>THG!AD9</f>
        <v>326856.20346245787</v>
      </c>
      <c r="AF13" s="25">
        <f>THG!AE9</f>
        <v>311702.04315861606</v>
      </c>
      <c r="AG13" s="25">
        <f>THG!AF9</f>
        <v>259177.61168640864</v>
      </c>
      <c r="AH13" s="164">
        <f>THG!AG9</f>
        <v>220095.20850316857</v>
      </c>
      <c r="AI13" s="164">
        <f>THG!AH9</f>
        <v>247782.48387902259</v>
      </c>
      <c r="AJ13" s="164">
        <f>THG!AI9</f>
        <v>258067.91392407115</v>
      </c>
      <c r="AK13" s="164">
        <f>THG!AJ9</f>
        <v>204828.88876446281</v>
      </c>
      <c r="AL13" s="164">
        <f>THG!AK9</f>
        <v>189698.59171527956</v>
      </c>
      <c r="AM13" s="164">
        <f>THG!AL9</f>
        <v>189087.95293816464</v>
      </c>
      <c r="AO13" s="122">
        <f t="shared" ref="AO13:AO18" si="0">AM13-AL13</f>
        <v>-610.63877711491659</v>
      </c>
      <c r="AP13" s="120">
        <f t="shared" ref="AP13:AP18" si="1">IF(AM13&lt;&gt;0,AM13/AL13-1,0)</f>
        <v>-3.2189947832160781E-3</v>
      </c>
    </row>
    <row r="14" spans="2:42" s="10" customFormat="1" ht="18.75" customHeight="1">
      <c r="B14" s="5" t="s">
        <v>9</v>
      </c>
      <c r="C14" s="19" t="s">
        <v>3</v>
      </c>
      <c r="D14" s="26">
        <f>THG!C14</f>
        <v>277641.53683104768</v>
      </c>
      <c r="E14" s="26">
        <f>THG!D14</f>
        <v>252314.26791676498</v>
      </c>
      <c r="F14" s="26">
        <f>THG!E14</f>
        <v>241004.79582556794</v>
      </c>
      <c r="G14" s="26">
        <f>THG!F14</f>
        <v>231283.09083618817</v>
      </c>
      <c r="H14" s="26">
        <f>THG!G14</f>
        <v>234840.56647210426</v>
      </c>
      <c r="I14" s="26">
        <f>THG!H14</f>
        <v>236720.99089581362</v>
      </c>
      <c r="J14" s="26">
        <f>THG!I14</f>
        <v>225512.80886653191</v>
      </c>
      <c r="K14" s="26">
        <f>THG!J14</f>
        <v>230065.61894107444</v>
      </c>
      <c r="L14" s="26">
        <f>THG!K14</f>
        <v>213088.45530491043</v>
      </c>
      <c r="M14" s="26">
        <f>THG!L14</f>
        <v>202999.3281748278</v>
      </c>
      <c r="N14" s="26">
        <f>THG!M14</f>
        <v>202493.48842715294</v>
      </c>
      <c r="O14" s="26">
        <f>THG!N14</f>
        <v>191951.88884084276</v>
      </c>
      <c r="P14" s="26">
        <f>THG!O14</f>
        <v>189741.93117948464</v>
      </c>
      <c r="Q14" s="26">
        <f>THG!P14</f>
        <v>189059.79832589015</v>
      </c>
      <c r="R14" s="26">
        <f>THG!Q14</f>
        <v>189061.11663462431</v>
      </c>
      <c r="S14" s="26">
        <f>THG!R14</f>
        <v>186278.27466313215</v>
      </c>
      <c r="T14" s="26">
        <f>THG!S14</f>
        <v>190838.87444737041</v>
      </c>
      <c r="U14" s="26">
        <f>THG!T14</f>
        <v>198980.82880893149</v>
      </c>
      <c r="V14" s="26">
        <f>THG!U14</f>
        <v>195502.87698129108</v>
      </c>
      <c r="W14" s="26">
        <f>THG!V14</f>
        <v>169862.7423092137</v>
      </c>
      <c r="X14" s="26">
        <f>THG!W14</f>
        <v>183728.61264169111</v>
      </c>
      <c r="Y14" s="26">
        <f>THG!X14</f>
        <v>181735.45932119651</v>
      </c>
      <c r="Z14" s="26">
        <f>THG!Y14</f>
        <v>176988.06789199158</v>
      </c>
      <c r="AA14" s="26">
        <f>THG!Z14</f>
        <v>176906.91866347069</v>
      </c>
      <c r="AB14" s="26">
        <f>THG!AA14</f>
        <v>176052.77993746981</v>
      </c>
      <c r="AC14" s="26">
        <f>THG!AB14</f>
        <v>182878.96309874119</v>
      </c>
      <c r="AD14" s="26">
        <f>THG!AC14</f>
        <v>186571.38369634715</v>
      </c>
      <c r="AE14" s="26">
        <f>THG!AD14</f>
        <v>192304.05291449762</v>
      </c>
      <c r="AF14" s="26">
        <f>THG!AE14</f>
        <v>184732.48464085814</v>
      </c>
      <c r="AG14" s="26">
        <f>THG!AF14</f>
        <v>179006.08427761015</v>
      </c>
      <c r="AH14" s="165">
        <f>THG!AG14</f>
        <v>172327.14236985968</v>
      </c>
      <c r="AI14" s="165">
        <f>THG!AH14</f>
        <v>180072.11795118847</v>
      </c>
      <c r="AJ14" s="165">
        <f>THG!AI14</f>
        <v>164245.62316678846</v>
      </c>
      <c r="AK14" s="165">
        <f>THG!AJ14</f>
        <v>149719.88883248548</v>
      </c>
      <c r="AL14" s="165">
        <f>THG!AK14</f>
        <v>149767.12492260267</v>
      </c>
      <c r="AM14" s="165">
        <f>THG!AL14</f>
        <v>144141.68907995371</v>
      </c>
      <c r="AO14" s="121">
        <f t="shared" si="0"/>
        <v>-5625.4358426489634</v>
      </c>
      <c r="AP14" s="119">
        <f t="shared" si="1"/>
        <v>-3.7561219430206072E-2</v>
      </c>
    </row>
    <row r="15" spans="2:42" s="10" customFormat="1" ht="18.75" customHeight="1">
      <c r="B15" s="6" t="s">
        <v>10</v>
      </c>
      <c r="C15" s="21" t="s">
        <v>3</v>
      </c>
      <c r="D15" s="25">
        <f>THG!C21</f>
        <v>210027.18395860447</v>
      </c>
      <c r="E15" s="25">
        <f>THG!D21</f>
        <v>208432.18191371491</v>
      </c>
      <c r="F15" s="25">
        <f>THG!E21</f>
        <v>190277.45833234602</v>
      </c>
      <c r="G15" s="25">
        <f>THG!F21</f>
        <v>197005.98901780017</v>
      </c>
      <c r="H15" s="25">
        <f>THG!G21</f>
        <v>186224.55899557067</v>
      </c>
      <c r="I15" s="25">
        <f>THG!H21</f>
        <v>187711.0381336172</v>
      </c>
      <c r="J15" s="25">
        <f>THG!I21</f>
        <v>210884.61571151708</v>
      </c>
      <c r="K15" s="25">
        <f>THG!J21</f>
        <v>197654.22637239174</v>
      </c>
      <c r="L15" s="25">
        <f>THG!K21</f>
        <v>189510.66137449766</v>
      </c>
      <c r="M15" s="25">
        <f>THG!L21</f>
        <v>172831.28623370748</v>
      </c>
      <c r="N15" s="25">
        <f>THG!M21</f>
        <v>166789.2327464798</v>
      </c>
      <c r="O15" s="25">
        <f>THG!N21</f>
        <v>187079.21984220835</v>
      </c>
      <c r="P15" s="25">
        <f>THG!O21</f>
        <v>174080.60753960372</v>
      </c>
      <c r="Q15" s="25">
        <f>THG!P21</f>
        <v>164266.6269728427</v>
      </c>
      <c r="R15" s="25">
        <f>THG!Q21</f>
        <v>152473.15960192765</v>
      </c>
      <c r="S15" s="25">
        <f>THG!R21</f>
        <v>151285.73283419717</v>
      </c>
      <c r="T15" s="25">
        <f>THG!S21</f>
        <v>160695.3825205958</v>
      </c>
      <c r="U15" s="25">
        <f>THG!T21</f>
        <v>122282.72021639605</v>
      </c>
      <c r="V15" s="25">
        <f>THG!U21</f>
        <v>147343.3577831774</v>
      </c>
      <c r="W15" s="25">
        <f>THG!V21</f>
        <v>137066.61941838666</v>
      </c>
      <c r="X15" s="25">
        <f>THG!W21</f>
        <v>145034.37013705776</v>
      </c>
      <c r="Y15" s="25">
        <f>THG!X21</f>
        <v>124858.41015963606</v>
      </c>
      <c r="Z15" s="25">
        <f>THG!Y21</f>
        <v>129590.6503449369</v>
      </c>
      <c r="AA15" s="25">
        <f>THG!Z21</f>
        <v>140240.88491850218</v>
      </c>
      <c r="AB15" s="25">
        <f>THG!AA21</f>
        <v>118636.45805072534</v>
      </c>
      <c r="AC15" s="25">
        <f>THG!AB21</f>
        <v>124783.56999675544</v>
      </c>
      <c r="AD15" s="25">
        <f>THG!AC21</f>
        <v>124161.75413175649</v>
      </c>
      <c r="AE15" s="25">
        <f>THG!AD21</f>
        <v>122982.35301164565</v>
      </c>
      <c r="AF15" s="25">
        <f>THG!AE21</f>
        <v>117685.87978898628</v>
      </c>
      <c r="AG15" s="25">
        <f>THG!AF21</f>
        <v>123482.08895026859</v>
      </c>
      <c r="AH15" s="164">
        <f>THG!AG21</f>
        <v>121561.94533243483</v>
      </c>
      <c r="AI15" s="164">
        <f>THG!AH21</f>
        <v>117958.20040067063</v>
      </c>
      <c r="AJ15" s="164">
        <f>THG!AI21</f>
        <v>111312.60961258033</v>
      </c>
      <c r="AK15" s="164">
        <f>THG!AJ21</f>
        <v>102358.8389695604</v>
      </c>
      <c r="AL15" s="164">
        <f>THG!AK21</f>
        <v>99998.028143157135</v>
      </c>
      <c r="AM15" s="164">
        <f>THG!AL21</f>
        <v>103365.86664073804</v>
      </c>
      <c r="AO15" s="122">
        <f t="shared" si="0"/>
        <v>3367.8384975809022</v>
      </c>
      <c r="AP15" s="120">
        <f t="shared" si="1"/>
        <v>3.367904907844288E-2</v>
      </c>
    </row>
    <row r="16" spans="2:42" s="10" customFormat="1" ht="18.75" customHeight="1">
      <c r="B16" s="5" t="s">
        <v>14</v>
      </c>
      <c r="C16" s="19" t="s">
        <v>3</v>
      </c>
      <c r="D16" s="26">
        <f>THG!C26</f>
        <v>163355.36616760315</v>
      </c>
      <c r="E16" s="26">
        <f>THG!D26</f>
        <v>166303.23762202708</v>
      </c>
      <c r="F16" s="26">
        <f>THG!E26</f>
        <v>172167.92788304127</v>
      </c>
      <c r="G16" s="26">
        <f>THG!F26</f>
        <v>176492.86454758715</v>
      </c>
      <c r="H16" s="26">
        <f>THG!G26</f>
        <v>172463.21860050695</v>
      </c>
      <c r="I16" s="26">
        <f>THG!H26</f>
        <v>176122.48168420375</v>
      </c>
      <c r="J16" s="26">
        <f>THG!I26</f>
        <v>175706.38359170008</v>
      </c>
      <c r="K16" s="26">
        <f>THG!J26</f>
        <v>176120.93158889891</v>
      </c>
      <c r="L16" s="26">
        <f>THG!K26</f>
        <v>179396.53596171187</v>
      </c>
      <c r="M16" s="26">
        <f>THG!L26</f>
        <v>184529.66219477804</v>
      </c>
      <c r="N16" s="26">
        <f>THG!M26</f>
        <v>180586.38520062697</v>
      </c>
      <c r="O16" s="26">
        <f>THG!N26</f>
        <v>176693.77167274567</v>
      </c>
      <c r="P16" s="26">
        <f>THG!O26</f>
        <v>174183.31703402408</v>
      </c>
      <c r="Q16" s="26">
        <f>THG!P26</f>
        <v>167441.53572815895</v>
      </c>
      <c r="R16" s="26">
        <f>THG!Q26</f>
        <v>167350.69391533409</v>
      </c>
      <c r="S16" s="26">
        <f>THG!R26</f>
        <v>160700.50537524637</v>
      </c>
      <c r="T16" s="26">
        <f>THG!S26</f>
        <v>161881.45271585885</v>
      </c>
      <c r="U16" s="26">
        <f>THG!T26</f>
        <v>152072.62110086659</v>
      </c>
      <c r="V16" s="26">
        <f>THG!U26</f>
        <v>151652.2198126837</v>
      </c>
      <c r="W16" s="26">
        <f>THG!V26</f>
        <v>151255.92402333036</v>
      </c>
      <c r="X16" s="26">
        <f>THG!W26</f>
        <v>151910.64588226838</v>
      </c>
      <c r="Y16" s="26">
        <f>THG!X26</f>
        <v>153560.95097371429</v>
      </c>
      <c r="Z16" s="26">
        <f>THG!Y26</f>
        <v>152086.18806966662</v>
      </c>
      <c r="AA16" s="26">
        <f>THG!Z26</f>
        <v>156033.11623669646</v>
      </c>
      <c r="AB16" s="26">
        <f>THG!AA26</f>
        <v>157637.57298831275</v>
      </c>
      <c r="AC16" s="26">
        <f>THG!AB26</f>
        <v>161090.44280870425</v>
      </c>
      <c r="AD16" s="26">
        <f>THG!AC26</f>
        <v>163892.39289932049</v>
      </c>
      <c r="AE16" s="26">
        <f>THG!AD26</f>
        <v>167279.37411929673</v>
      </c>
      <c r="AF16" s="26">
        <f>THG!AE26</f>
        <v>162637.34410803055</v>
      </c>
      <c r="AG16" s="26">
        <f>THG!AF26</f>
        <v>163622.52220400539</v>
      </c>
      <c r="AH16" s="165">
        <f>THG!AG26</f>
        <v>145895.15044332205</v>
      </c>
      <c r="AI16" s="165">
        <f>THG!AH26</f>
        <v>146812.28818570357</v>
      </c>
      <c r="AJ16" s="165">
        <f>THG!AI26</f>
        <v>148070.28751224166</v>
      </c>
      <c r="AK16" s="165">
        <f>THG!AJ26</f>
        <v>144478.72767333922</v>
      </c>
      <c r="AL16" s="165">
        <f>THG!AK26</f>
        <v>144182.32724657934</v>
      </c>
      <c r="AM16" s="165">
        <f>THG!AL26</f>
        <v>146305.15581176433</v>
      </c>
      <c r="AO16" s="121">
        <f t="shared" si="0"/>
        <v>2122.8285651849874</v>
      </c>
      <c r="AP16" s="119">
        <f t="shared" si="1"/>
        <v>1.4723223058777046E-2</v>
      </c>
    </row>
    <row r="17" spans="2:42" s="10" customFormat="1" ht="18.75" customHeight="1">
      <c r="B17" s="6" t="s">
        <v>15</v>
      </c>
      <c r="C17" s="21" t="s">
        <v>3</v>
      </c>
      <c r="D17" s="25">
        <f>THG!C32</f>
        <v>85776.819711507851</v>
      </c>
      <c r="E17" s="25">
        <f>THG!D32</f>
        <v>76296.539535954857</v>
      </c>
      <c r="F17" s="25">
        <f>THG!E32</f>
        <v>75156.390526450341</v>
      </c>
      <c r="G17" s="25">
        <f>THG!F32</f>
        <v>74360.189429137565</v>
      </c>
      <c r="H17" s="25">
        <f>THG!G32</f>
        <v>74934.669624752773</v>
      </c>
      <c r="I17" s="25">
        <f>THG!H32</f>
        <v>74844.108020139713</v>
      </c>
      <c r="J17" s="25">
        <f>THG!I32</f>
        <v>75949.608979255296</v>
      </c>
      <c r="K17" s="25">
        <f>THG!J32</f>
        <v>73963.672982207965</v>
      </c>
      <c r="L17" s="25">
        <f>THG!K32</f>
        <v>73589.188781903009</v>
      </c>
      <c r="M17" s="25">
        <f>THG!L32</f>
        <v>73737.611685089549</v>
      </c>
      <c r="N17" s="25">
        <f>THG!M32</f>
        <v>72708.344376258567</v>
      </c>
      <c r="O17" s="25">
        <f>THG!N32</f>
        <v>72942.642855525468</v>
      </c>
      <c r="P17" s="25">
        <f>THG!O32</f>
        <v>71843.233178534283</v>
      </c>
      <c r="Q17" s="25">
        <f>THG!P32</f>
        <v>68730.90315150535</v>
      </c>
      <c r="R17" s="25">
        <f>THG!Q32</f>
        <v>68705.847786067388</v>
      </c>
      <c r="S17" s="25">
        <f>THG!R32</f>
        <v>68247.440802044235</v>
      </c>
      <c r="T17" s="25">
        <f>THG!S32</f>
        <v>67698.143210464186</v>
      </c>
      <c r="U17" s="25">
        <f>THG!T32</f>
        <v>68158.512496660449</v>
      </c>
      <c r="V17" s="25">
        <f>THG!U32</f>
        <v>67567.024212692879</v>
      </c>
      <c r="W17" s="25">
        <f>THG!V32</f>
        <v>67601.242753802915</v>
      </c>
      <c r="X17" s="25">
        <f>THG!W32</f>
        <v>67795.567311718318</v>
      </c>
      <c r="Y17" s="25">
        <f>THG!X32</f>
        <v>68214.170448732242</v>
      </c>
      <c r="Z17" s="25">
        <f>THG!Y32</f>
        <v>68013.050823684913</v>
      </c>
      <c r="AA17" s="25">
        <f>THG!Z32</f>
        <v>69373.201402205159</v>
      </c>
      <c r="AB17" s="25">
        <f>THG!AA32</f>
        <v>70820.628331803891</v>
      </c>
      <c r="AC17" s="25">
        <f>THG!AB32</f>
        <v>69717.072689616645</v>
      </c>
      <c r="AD17" s="25">
        <f>THG!AC32</f>
        <v>70111.547703125281</v>
      </c>
      <c r="AE17" s="25">
        <f>THG!AD32</f>
        <v>69331.952256734803</v>
      </c>
      <c r="AF17" s="25">
        <f>THG!AE32</f>
        <v>66245.97372061263</v>
      </c>
      <c r="AG17" s="25">
        <f>THG!AF32</f>
        <v>66105.897936157169</v>
      </c>
      <c r="AH17" s="164">
        <f>THG!AG32</f>
        <v>64974.689392425928</v>
      </c>
      <c r="AI17" s="164">
        <f>THG!AH32</f>
        <v>64238.336695656006</v>
      </c>
      <c r="AJ17" s="164">
        <f>THG!AI32</f>
        <v>61920.176584801615</v>
      </c>
      <c r="AK17" s="164">
        <f>THG!AJ32</f>
        <v>62742.735336161677</v>
      </c>
      <c r="AL17" s="164">
        <f>THG!AK32</f>
        <v>60846.136464729105</v>
      </c>
      <c r="AM17" s="164">
        <f>THG!AL32</f>
        <v>60842.481207611774</v>
      </c>
      <c r="AO17" s="122">
        <f t="shared" si="0"/>
        <v>-3.6552571173306205</v>
      </c>
      <c r="AP17" s="120">
        <f t="shared" si="1"/>
        <v>-6.0073775094204862E-5</v>
      </c>
    </row>
    <row r="18" spans="2:42" s="10" customFormat="1" ht="18.75" customHeight="1">
      <c r="B18" s="5" t="s">
        <v>16</v>
      </c>
      <c r="C18" s="19" t="s">
        <v>3</v>
      </c>
      <c r="D18" s="26">
        <f>THG!C42</f>
        <v>41550.208209684955</v>
      </c>
      <c r="E18" s="26">
        <f>THG!D42</f>
        <v>43096.386910464244</v>
      </c>
      <c r="F18" s="26">
        <f>THG!E42</f>
        <v>43690.552789579269</v>
      </c>
      <c r="G18" s="26">
        <f>THG!F42</f>
        <v>43410.594571395734</v>
      </c>
      <c r="H18" s="26">
        <f>THG!G42</f>
        <v>42331.817932506026</v>
      </c>
      <c r="I18" s="26">
        <f>THG!H42</f>
        <v>41064.653718503017</v>
      </c>
      <c r="J18" s="26">
        <f>THG!I42</f>
        <v>39269.523659810075</v>
      </c>
      <c r="K18" s="26">
        <f>THG!J42</f>
        <v>35964.229901993094</v>
      </c>
      <c r="L18" s="26">
        <f>THG!K42</f>
        <v>33433.339536685176</v>
      </c>
      <c r="M18" s="26">
        <f>THG!L42</f>
        <v>31447.017076910739</v>
      </c>
      <c r="N18" s="26">
        <f>THG!M42</f>
        <v>29572.460032452174</v>
      </c>
      <c r="O18" s="26">
        <f>THG!N42</f>
        <v>27568.820348292542</v>
      </c>
      <c r="P18" s="26">
        <f>THG!O42</f>
        <v>25848.040379858077</v>
      </c>
      <c r="Q18" s="26">
        <f>THG!P42</f>
        <v>24062.269037338847</v>
      </c>
      <c r="R18" s="26">
        <f>THG!Q42</f>
        <v>21489.217535313594</v>
      </c>
      <c r="S18" s="26">
        <f>THG!R42</f>
        <v>19830.658338951438</v>
      </c>
      <c r="T18" s="26">
        <f>THG!S42</f>
        <v>17758.310821011335</v>
      </c>
      <c r="U18" s="26">
        <f>THG!T42</f>
        <v>16236.759090921445</v>
      </c>
      <c r="V18" s="26">
        <f>THG!U42</f>
        <v>14839.270182314303</v>
      </c>
      <c r="W18" s="26">
        <f>THG!V42</f>
        <v>13445.488095760964</v>
      </c>
      <c r="X18" s="26">
        <f>THG!W42</f>
        <v>12191.951804297189</v>
      </c>
      <c r="Y18" s="26">
        <f>THG!X42</f>
        <v>11309.311816960442</v>
      </c>
      <c r="Z18" s="26">
        <f>THG!Y42</f>
        <v>10483.45334162813</v>
      </c>
      <c r="AA18" s="26">
        <f>THG!Z42</f>
        <v>9687.7307795879642</v>
      </c>
      <c r="AB18" s="26">
        <f>THG!AA42</f>
        <v>9062.3234858736178</v>
      </c>
      <c r="AC18" s="26">
        <f>THG!AB42</f>
        <v>8443.4764284048288</v>
      </c>
      <c r="AD18" s="26">
        <f>THG!AC42</f>
        <v>7904.3758078951205</v>
      </c>
      <c r="AE18" s="26">
        <f>THG!AD42</f>
        <v>7525.8270473799266</v>
      </c>
      <c r="AF18" s="26">
        <f>THG!AE42</f>
        <v>7131.2752606933363</v>
      </c>
      <c r="AG18" s="26">
        <f>THG!AF42</f>
        <v>6606.3236655993542</v>
      </c>
      <c r="AH18" s="165">
        <f>THG!AG42</f>
        <v>6118.2356179770177</v>
      </c>
      <c r="AI18" s="165">
        <f>THG!AH42</f>
        <v>5909.2398257029581</v>
      </c>
      <c r="AJ18" s="165">
        <f>THG!AI42</f>
        <v>5649.8133677704582</v>
      </c>
      <c r="AK18" s="165">
        <f>THG!AJ42</f>
        <v>5449.2808878491442</v>
      </c>
      <c r="AL18" s="165">
        <f>THG!AK42</f>
        <v>5277.3098996146073</v>
      </c>
      <c r="AM18" s="165">
        <f>THG!AL42</f>
        <v>5123.4909507111488</v>
      </c>
      <c r="AO18" s="121">
        <f t="shared" si="0"/>
        <v>-153.81894890345848</v>
      </c>
      <c r="AP18" s="119">
        <f t="shared" si="1"/>
        <v>-2.9147226869259968E-2</v>
      </c>
    </row>
    <row r="19" spans="2:42" ht="14.25" customHeight="1">
      <c r="B19" s="7"/>
      <c r="C19" s="15"/>
      <c r="AH19" s="149"/>
      <c r="AI19" s="149"/>
    </row>
    <row r="20" spans="2:42" ht="18.75" customHeight="1">
      <c r="B20" s="1"/>
      <c r="C20" s="11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</row>
    <row r="21" spans="2:42" ht="65.25" customHeight="1">
      <c r="B21" s="123" t="s">
        <v>110</v>
      </c>
      <c r="C21" s="12"/>
      <c r="D21" s="2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186"/>
      <c r="AK21" s="186"/>
      <c r="AL21" s="186"/>
      <c r="AM21" s="186"/>
    </row>
    <row r="22" spans="2:42">
      <c r="B22" s="4" t="s">
        <v>76</v>
      </c>
      <c r="C22" s="13"/>
      <c r="D22" s="8">
        <v>32874</v>
      </c>
      <c r="E22" s="8">
        <v>33239</v>
      </c>
      <c r="F22" s="8">
        <v>33604</v>
      </c>
      <c r="G22" s="8">
        <v>33970</v>
      </c>
      <c r="H22" s="8">
        <v>34335</v>
      </c>
      <c r="I22" s="8">
        <v>34700</v>
      </c>
      <c r="J22" s="8">
        <v>35065</v>
      </c>
      <c r="K22" s="8">
        <v>35431</v>
      </c>
      <c r="L22" s="8">
        <v>35796</v>
      </c>
      <c r="M22" s="8">
        <v>36161</v>
      </c>
      <c r="N22" s="8">
        <v>36526</v>
      </c>
      <c r="O22" s="8">
        <v>36892</v>
      </c>
      <c r="P22" s="8">
        <v>37257</v>
      </c>
      <c r="Q22" s="8">
        <v>37622</v>
      </c>
      <c r="R22" s="8">
        <v>37987</v>
      </c>
      <c r="S22" s="8">
        <v>38353</v>
      </c>
      <c r="T22" s="8">
        <v>38718</v>
      </c>
      <c r="U22" s="8">
        <v>39083</v>
      </c>
      <c r="V22" s="8">
        <v>39448</v>
      </c>
      <c r="W22" s="8">
        <v>39814</v>
      </c>
      <c r="X22" s="8">
        <v>40179</v>
      </c>
      <c r="Y22" s="8">
        <v>40544</v>
      </c>
      <c r="Z22" s="8">
        <v>40909</v>
      </c>
      <c r="AA22" s="8">
        <v>41275</v>
      </c>
      <c r="AB22" s="8">
        <v>41640</v>
      </c>
      <c r="AC22" s="8">
        <v>42005</v>
      </c>
      <c r="AD22" s="8">
        <v>42370</v>
      </c>
      <c r="AE22" s="8">
        <v>42736</v>
      </c>
      <c r="AF22" s="8">
        <v>43101</v>
      </c>
      <c r="AG22" s="8">
        <v>43466</v>
      </c>
      <c r="AH22" s="8">
        <v>43831</v>
      </c>
      <c r="AI22" s="154">
        <v>44197</v>
      </c>
      <c r="AJ22" s="154">
        <v>44562</v>
      </c>
      <c r="AK22" s="154">
        <v>44927</v>
      </c>
      <c r="AL22" s="154">
        <v>45292</v>
      </c>
      <c r="AM22" s="154">
        <v>45658</v>
      </c>
    </row>
    <row r="23" spans="2:42">
      <c r="B23" s="6" t="s">
        <v>8</v>
      </c>
      <c r="C23" s="21" t="s">
        <v>3</v>
      </c>
      <c r="D23" s="140">
        <f>THG!C9</f>
        <v>474776.80337871826</v>
      </c>
      <c r="E23" s="140">
        <f>THG!D9</f>
        <v>459949.69694106851</v>
      </c>
      <c r="F23" s="140">
        <f>THG!E9</f>
        <v>435679.8886223163</v>
      </c>
      <c r="G23" s="140">
        <f>THG!F9</f>
        <v>425929.86593222641</v>
      </c>
      <c r="H23" s="140">
        <f>THG!G9</f>
        <v>420019.11236192664</v>
      </c>
      <c r="I23" s="140">
        <f>THG!H9</f>
        <v>406940.80164079944</v>
      </c>
      <c r="J23" s="140">
        <f>THG!I9</f>
        <v>412876.98466710915</v>
      </c>
      <c r="K23" s="140">
        <f>THG!J9</f>
        <v>391013.89023175917</v>
      </c>
      <c r="L23" s="140">
        <f>THG!K9</f>
        <v>390964.33555439627</v>
      </c>
      <c r="M23" s="140">
        <f>THG!L9</f>
        <v>379992.62346413964</v>
      </c>
      <c r="N23" s="140">
        <f>THG!M9</f>
        <v>390848.30928828631</v>
      </c>
      <c r="O23" s="140">
        <f>THG!N9</f>
        <v>400846.00433636975</v>
      </c>
      <c r="P23" s="140">
        <f>THG!O9</f>
        <v>400960.86881352036</v>
      </c>
      <c r="Q23" s="140">
        <f>THG!P9</f>
        <v>416977.62414876738</v>
      </c>
      <c r="R23" s="140">
        <f>THG!Q9</f>
        <v>411596.29070904118</v>
      </c>
      <c r="S23" s="140">
        <f>THG!R9</f>
        <v>402604.87927863363</v>
      </c>
      <c r="T23" s="140">
        <f>THG!S9</f>
        <v>403126.84418138344</v>
      </c>
      <c r="U23" s="140">
        <f>THG!T9</f>
        <v>405779.41336919012</v>
      </c>
      <c r="V23" s="140">
        <f>THG!U9</f>
        <v>388020.3640358363</v>
      </c>
      <c r="W23" s="140">
        <f>THG!V9</f>
        <v>362052.52022394584</v>
      </c>
      <c r="X23" s="140">
        <f>THG!W9</f>
        <v>372588.7773313013</v>
      </c>
      <c r="Y23" s="140">
        <f>THG!X9</f>
        <v>367936.8947441866</v>
      </c>
      <c r="Z23" s="140">
        <f>THG!Y9</f>
        <v>379783.9746737188</v>
      </c>
      <c r="AA23" s="140">
        <f>THG!Z9</f>
        <v>384368.39643022092</v>
      </c>
      <c r="AB23" s="140">
        <f>THG!AA9</f>
        <v>363022.10331471544</v>
      </c>
      <c r="AC23" s="140">
        <f>THG!AB9</f>
        <v>351692.1278761219</v>
      </c>
      <c r="AD23" s="140">
        <f>THG!AC9</f>
        <v>346388.66096609633</v>
      </c>
      <c r="AE23" s="140">
        <f>THG!AD9</f>
        <v>326856.20346245787</v>
      </c>
      <c r="AF23" s="140">
        <f>THG!AE9</f>
        <v>311702.04315861606</v>
      </c>
      <c r="AG23" s="140">
        <f>THG!AF9</f>
        <v>259177.61168640864</v>
      </c>
      <c r="AH23" s="164">
        <f>THG!AG9</f>
        <v>220095.20850316857</v>
      </c>
      <c r="AI23" s="164">
        <f>THG!AH9</f>
        <v>247782.48387902259</v>
      </c>
      <c r="AJ23" s="164">
        <f>THG!AI9</f>
        <v>258067.91392407115</v>
      </c>
      <c r="AK23" s="164">
        <f>THG!AJ9</f>
        <v>204828.88876446281</v>
      </c>
      <c r="AL23" s="164">
        <f>THG!AK9</f>
        <v>189698.59171527956</v>
      </c>
      <c r="AM23" s="164">
        <f>THG!AL9</f>
        <v>189087.95293816464</v>
      </c>
      <c r="AN23" s="10"/>
      <c r="AO23" s="10"/>
    </row>
    <row r="24" spans="2:42">
      <c r="B24" s="18" t="s">
        <v>94</v>
      </c>
      <c r="C24" s="14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67">
        <f>SUM(AA25:AA27)</f>
        <v>329460.79246000008</v>
      </c>
      <c r="AB24" s="167">
        <f t="shared" ref="AB24:AH24" si="2">SUM(AB25:AB27)</f>
        <v>308797.25913600001</v>
      </c>
      <c r="AC24" s="167">
        <f t="shared" si="2"/>
        <v>303306.83612200007</v>
      </c>
      <c r="AD24" s="167">
        <f t="shared" si="2"/>
        <v>300528.76027400093</v>
      </c>
      <c r="AE24" s="167">
        <f t="shared" si="2"/>
        <v>282704.51282600098</v>
      </c>
      <c r="AF24" s="167">
        <f t="shared" si="2"/>
        <v>269916.55696499994</v>
      </c>
      <c r="AG24" s="167">
        <f t="shared" si="2"/>
        <v>216590.83173400001</v>
      </c>
      <c r="AH24" s="167">
        <f t="shared" si="2"/>
        <v>182627.05738699998</v>
      </c>
      <c r="AI24" s="167">
        <f>SUM(AI25:AI27)</f>
        <v>210016.69495783537</v>
      </c>
      <c r="AJ24" s="167">
        <f t="shared" ref="AJ24:AL24" si="3">SUM(AJ25:AJ27)</f>
        <v>221068.89694421494</v>
      </c>
      <c r="AK24" s="167">
        <f t="shared" si="3"/>
        <v>168632.80266534514</v>
      </c>
      <c r="AL24" s="167">
        <f t="shared" si="3"/>
        <v>152451.97543466883</v>
      </c>
      <c r="AM24" s="167"/>
    </row>
    <row r="25" spans="2:42" s="149" customFormat="1" outlineLevel="1">
      <c r="B25" s="18" t="s">
        <v>102</v>
      </c>
      <c r="C25" s="158"/>
      <c r="D25" s="167"/>
      <c r="E25" s="167" t="s">
        <v>142</v>
      </c>
      <c r="F25" s="167" t="s">
        <v>143</v>
      </c>
      <c r="G25" s="167" t="s">
        <v>144</v>
      </c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>
        <v>327676.54840700008</v>
      </c>
      <c r="AB25" s="167">
        <v>307315.60898900003</v>
      </c>
      <c r="AC25" s="167">
        <v>301778.72010100004</v>
      </c>
      <c r="AD25" s="167">
        <v>299243.75606700091</v>
      </c>
      <c r="AE25" s="167">
        <v>281254.57662400097</v>
      </c>
      <c r="AF25" s="167">
        <v>268148.78101099998</v>
      </c>
      <c r="AG25" s="167">
        <v>214949.32107599999</v>
      </c>
      <c r="AH25" s="167">
        <v>181619.81287799997</v>
      </c>
      <c r="AI25" s="167">
        <v>208725.92422119505</v>
      </c>
      <c r="AJ25" s="167">
        <v>219379.37720242527</v>
      </c>
      <c r="AK25" s="167">
        <v>167381.3583105896</v>
      </c>
      <c r="AL25" s="167">
        <v>151535.05267750152</v>
      </c>
      <c r="AM25" s="167"/>
    </row>
    <row r="26" spans="2:42" s="149" customFormat="1" outlineLevel="1">
      <c r="B26" s="18" t="s">
        <v>103</v>
      </c>
      <c r="C26" s="158"/>
      <c r="D26" s="167"/>
      <c r="E26" s="167" t="s">
        <v>142</v>
      </c>
      <c r="F26" s="167" t="s">
        <v>143</v>
      </c>
      <c r="G26" s="167" t="s">
        <v>145</v>
      </c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>
        <v>1467.3568359999999</v>
      </c>
      <c r="AB26" s="167">
        <v>1195.0281</v>
      </c>
      <c r="AC26" s="167">
        <v>1234.3823010000001</v>
      </c>
      <c r="AD26" s="167">
        <v>1047.6413150000001</v>
      </c>
      <c r="AE26" s="167">
        <v>1252.0861379999999</v>
      </c>
      <c r="AF26" s="167">
        <v>1330.174563</v>
      </c>
      <c r="AG26" s="167">
        <v>1196.2065459999999</v>
      </c>
      <c r="AH26" s="167">
        <v>768.98538900000005</v>
      </c>
      <c r="AI26" s="167">
        <v>808.95682703826606</v>
      </c>
      <c r="AJ26" s="167">
        <v>1240.6871578794501</v>
      </c>
      <c r="AK26" s="167">
        <v>889.34673493613502</v>
      </c>
      <c r="AL26" s="167">
        <v>652.84210057546295</v>
      </c>
      <c r="AM26" s="167"/>
    </row>
    <row r="27" spans="2:42" s="149" customFormat="1" outlineLevel="1">
      <c r="B27" s="18" t="s">
        <v>104</v>
      </c>
      <c r="C27" s="158"/>
      <c r="D27" s="167"/>
      <c r="E27" s="167" t="s">
        <v>142</v>
      </c>
      <c r="F27" s="167" t="s">
        <v>143</v>
      </c>
      <c r="G27" s="167" t="s">
        <v>146</v>
      </c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>
        <v>316.88721700000002</v>
      </c>
      <c r="AB27" s="167">
        <v>286.62204700000001</v>
      </c>
      <c r="AC27" s="167">
        <v>293.73372000000001</v>
      </c>
      <c r="AD27" s="167">
        <v>237.36289199999999</v>
      </c>
      <c r="AE27" s="167">
        <v>197.850064</v>
      </c>
      <c r="AF27" s="167">
        <v>437.60139099999998</v>
      </c>
      <c r="AG27" s="167">
        <v>445.30411199999998</v>
      </c>
      <c r="AH27" s="167">
        <v>238.25912</v>
      </c>
      <c r="AI27" s="167">
        <v>481.813909602058</v>
      </c>
      <c r="AJ27" s="167">
        <v>448.83258391022599</v>
      </c>
      <c r="AK27" s="167">
        <v>362.09761981940102</v>
      </c>
      <c r="AL27" s="167">
        <v>264.08065659186298</v>
      </c>
      <c r="AM27" s="167"/>
    </row>
    <row r="28" spans="2:42">
      <c r="B28" s="89" t="s">
        <v>95</v>
      </c>
      <c r="C28" s="88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>
        <f t="shared" ref="AA28" si="4">AA23-AA24</f>
        <v>54907.603970220836</v>
      </c>
      <c r="AB28" s="166">
        <f t="shared" ref="AB28:AG28" si="5">AB23-AB24</f>
        <v>54224.84417871543</v>
      </c>
      <c r="AC28" s="166">
        <f t="shared" si="5"/>
        <v>48385.291754121834</v>
      </c>
      <c r="AD28" s="166">
        <f t="shared" si="5"/>
        <v>45859.900692095398</v>
      </c>
      <c r="AE28" s="166">
        <f t="shared" si="5"/>
        <v>44151.690636456886</v>
      </c>
      <c r="AF28" s="166">
        <f t="shared" si="5"/>
        <v>41785.486193616118</v>
      </c>
      <c r="AG28" s="166">
        <f t="shared" si="5"/>
        <v>42586.779952408629</v>
      </c>
      <c r="AH28" s="166">
        <f>AH23-AH24</f>
        <v>37468.151116168592</v>
      </c>
      <c r="AI28" s="166">
        <f>AI23-AI24</f>
        <v>37765.788921187224</v>
      </c>
      <c r="AJ28" s="166">
        <f t="shared" ref="AJ28:AM28" si="6">AJ23-AJ24</f>
        <v>36999.016979856213</v>
      </c>
      <c r="AK28" s="166">
        <f t="shared" si="6"/>
        <v>36196.086099117674</v>
      </c>
      <c r="AL28" s="166">
        <f t="shared" si="6"/>
        <v>37246.616280610731</v>
      </c>
      <c r="AM28" s="166">
        <f t="shared" si="6"/>
        <v>189087.95293816464</v>
      </c>
    </row>
    <row r="29" spans="2:42">
      <c r="B29" s="144" t="s">
        <v>96</v>
      </c>
      <c r="C29" s="146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7">
        <f t="shared" ref="AA29" si="7">AA24/AA23</f>
        <v>0.85714849482899957</v>
      </c>
      <c r="AB29" s="147">
        <f t="shared" ref="AB29:AH29" si="8">AB24/AB23</f>
        <v>0.85062935924949401</v>
      </c>
      <c r="AC29" s="147">
        <f t="shared" si="8"/>
        <v>0.86242145354142019</v>
      </c>
      <c r="AD29" s="147">
        <f t="shared" si="8"/>
        <v>0.86760565266718115</v>
      </c>
      <c r="AE29" s="147">
        <f t="shared" si="8"/>
        <v>0.86492013867643158</v>
      </c>
      <c r="AF29" s="147">
        <f t="shared" si="8"/>
        <v>0.86594413764444689</v>
      </c>
      <c r="AG29" s="147">
        <f t="shared" si="8"/>
        <v>0.83568495876126669</v>
      </c>
      <c r="AH29" s="147">
        <f t="shared" si="8"/>
        <v>0.82976389458460575</v>
      </c>
      <c r="AI29" s="147">
        <f t="shared" ref="AI29" si="9">AI24/AI23</f>
        <v>0.84758491266224445</v>
      </c>
      <c r="AJ29" s="147">
        <f t="shared" ref="AJ29:AL29" si="10">AJ24/AJ23</f>
        <v>0.85663069686864646</v>
      </c>
      <c r="AK29" s="147">
        <f t="shared" si="10"/>
        <v>0.82328622531004236</v>
      </c>
      <c r="AL29" s="147">
        <f t="shared" si="10"/>
        <v>0.80365370167579031</v>
      </c>
      <c r="AM29" s="147"/>
      <c r="AN29" s="29"/>
      <c r="AO29" s="29"/>
    </row>
    <row r="30" spans="2:42">
      <c r="B30" s="6" t="s">
        <v>9</v>
      </c>
      <c r="C30" s="21" t="s">
        <v>3</v>
      </c>
      <c r="D30" s="140">
        <f>THG!C14</f>
        <v>277641.53683104768</v>
      </c>
      <c r="E30" s="140">
        <f>THG!D14</f>
        <v>252314.26791676498</v>
      </c>
      <c r="F30" s="140">
        <f>THG!E14</f>
        <v>241004.79582556794</v>
      </c>
      <c r="G30" s="140">
        <f>THG!F14</f>
        <v>231283.09083618817</v>
      </c>
      <c r="H30" s="140">
        <f>THG!G14</f>
        <v>234840.56647210426</v>
      </c>
      <c r="I30" s="140">
        <f>THG!H14</f>
        <v>236720.99089581362</v>
      </c>
      <c r="J30" s="140">
        <f>THG!I14</f>
        <v>225512.80886653191</v>
      </c>
      <c r="K30" s="140">
        <f>THG!J14</f>
        <v>230065.61894107444</v>
      </c>
      <c r="L30" s="140">
        <f>THG!K14</f>
        <v>213088.45530491043</v>
      </c>
      <c r="M30" s="140">
        <f>THG!L14</f>
        <v>202999.3281748278</v>
      </c>
      <c r="N30" s="140">
        <f>THG!M14</f>
        <v>202493.48842715294</v>
      </c>
      <c r="O30" s="140">
        <f>THG!N14</f>
        <v>191951.88884084276</v>
      </c>
      <c r="P30" s="140">
        <f>THG!O14</f>
        <v>189741.93117948464</v>
      </c>
      <c r="Q30" s="140">
        <f>THG!P14</f>
        <v>189059.79832589015</v>
      </c>
      <c r="R30" s="140">
        <f>THG!Q14</f>
        <v>189061.11663462431</v>
      </c>
      <c r="S30" s="140">
        <f>THG!R14</f>
        <v>186278.27466313215</v>
      </c>
      <c r="T30" s="140">
        <f>THG!S14</f>
        <v>190838.87444737041</v>
      </c>
      <c r="U30" s="140">
        <f>THG!T14</f>
        <v>198980.82880893149</v>
      </c>
      <c r="V30" s="140">
        <f>THG!U14</f>
        <v>195502.87698129108</v>
      </c>
      <c r="W30" s="140">
        <f>THG!V14</f>
        <v>169862.7423092137</v>
      </c>
      <c r="X30" s="140">
        <f>THG!W14</f>
        <v>183728.61264169111</v>
      </c>
      <c r="Y30" s="140">
        <f>THG!X14</f>
        <v>181735.45932119651</v>
      </c>
      <c r="Z30" s="140">
        <f>THG!Y14</f>
        <v>176988.06789199158</v>
      </c>
      <c r="AA30" s="140">
        <f>THG!Z14</f>
        <v>176906.91866347069</v>
      </c>
      <c r="AB30" s="164">
        <f>THG!AA14</f>
        <v>176052.77993746981</v>
      </c>
      <c r="AC30" s="164">
        <f>THG!AB14</f>
        <v>182878.96309874119</v>
      </c>
      <c r="AD30" s="164">
        <f>THG!AC14</f>
        <v>186571.38369634715</v>
      </c>
      <c r="AE30" s="164">
        <f>THG!AD14</f>
        <v>192304.05291449762</v>
      </c>
      <c r="AF30" s="164">
        <f>THG!AE14</f>
        <v>184732.48464085814</v>
      </c>
      <c r="AG30" s="164">
        <f>THG!AF14</f>
        <v>179006.08427761015</v>
      </c>
      <c r="AH30" s="164">
        <f>THG!AG14</f>
        <v>172327.14236985968</v>
      </c>
      <c r="AI30" s="164">
        <f>THG!AH14</f>
        <v>180072.11795118847</v>
      </c>
      <c r="AJ30" s="164">
        <f>THG!AI14</f>
        <v>164245.62316678846</v>
      </c>
      <c r="AK30" s="164">
        <f>THG!AJ14</f>
        <v>149719.88883248548</v>
      </c>
      <c r="AL30" s="164">
        <f>THG!AK14</f>
        <v>149767.12492260267</v>
      </c>
      <c r="AM30" s="164">
        <f>THG!AL14</f>
        <v>144141.68907995371</v>
      </c>
      <c r="AN30" s="10"/>
      <c r="AO30" s="10"/>
    </row>
    <row r="31" spans="2:42">
      <c r="B31" s="18" t="s">
        <v>94</v>
      </c>
      <c r="C31" s="14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67">
        <f>SUM(AA32:AA33)</f>
        <v>150783.21210599999</v>
      </c>
      <c r="AB31" s="167">
        <f t="shared" ref="AB31:AH31" si="11">SUM(AB32:AB33)</f>
        <v>151663.65511999998</v>
      </c>
      <c r="AC31" s="167">
        <f t="shared" si="11"/>
        <v>151484.56130900007</v>
      </c>
      <c r="AD31" s="167">
        <f t="shared" si="11"/>
        <v>151705.17644100002</v>
      </c>
      <c r="AE31" s="167">
        <f t="shared" si="11"/>
        <v>154331.43690000003</v>
      </c>
      <c r="AF31" s="167">
        <f t="shared" si="11"/>
        <v>152376.55838999769</v>
      </c>
      <c r="AG31" s="167">
        <f t="shared" si="11"/>
        <v>146165.283742</v>
      </c>
      <c r="AH31" s="167">
        <f t="shared" si="11"/>
        <v>137101.31589599999</v>
      </c>
      <c r="AI31" s="167">
        <f t="shared" ref="AI31" si="12">SUM(AI32:AI33)</f>
        <v>144639.57132734463</v>
      </c>
      <c r="AJ31" s="167">
        <f t="shared" ref="AJ31:AL31" si="13">SUM(AJ32:AJ33)</f>
        <v>132450.56138003443</v>
      </c>
      <c r="AK31" s="167">
        <f t="shared" si="13"/>
        <v>120324.17928894213</v>
      </c>
      <c r="AL31" s="167">
        <f t="shared" si="13"/>
        <v>119995.00099141413</v>
      </c>
      <c r="AM31" s="167"/>
    </row>
    <row r="32" spans="2:42" s="149" customFormat="1" outlineLevel="1">
      <c r="B32" s="18" t="s">
        <v>105</v>
      </c>
      <c r="C32" s="158"/>
      <c r="D32" s="167"/>
      <c r="E32" s="167" t="s">
        <v>142</v>
      </c>
      <c r="F32" s="167" t="s">
        <v>143</v>
      </c>
      <c r="G32" s="167" t="s">
        <v>147</v>
      </c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>
        <v>98667.808485000001</v>
      </c>
      <c r="AB32" s="167">
        <v>100186.601113</v>
      </c>
      <c r="AC32" s="167">
        <v>99280.952017999996</v>
      </c>
      <c r="AD32" s="167">
        <v>100064.60381</v>
      </c>
      <c r="AE32" s="167">
        <v>100561.87328700001</v>
      </c>
      <c r="AF32" s="167">
        <v>98510.820724000005</v>
      </c>
      <c r="AG32" s="167">
        <v>94952.194906999997</v>
      </c>
      <c r="AH32" s="167">
        <v>89474.146185999984</v>
      </c>
      <c r="AI32" s="167">
        <v>95296.354727236612</v>
      </c>
      <c r="AJ32" s="167">
        <v>86190.109305148362</v>
      </c>
      <c r="AK32" s="167">
        <v>77728.297365585182</v>
      </c>
      <c r="AL32" s="167">
        <v>76841.531839952266</v>
      </c>
      <c r="AM32" s="167"/>
    </row>
    <row r="33" spans="2:41" s="149" customFormat="1" outlineLevel="1">
      <c r="B33" s="18" t="s">
        <v>106</v>
      </c>
      <c r="C33" s="158"/>
      <c r="D33" s="167"/>
      <c r="E33" s="167" t="s">
        <v>142</v>
      </c>
      <c r="F33" s="167" t="s">
        <v>143</v>
      </c>
      <c r="G33" s="167" t="s">
        <v>151</v>
      </c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>
        <v>52115.403620999998</v>
      </c>
      <c r="AB33" s="167">
        <v>51477.054006999992</v>
      </c>
      <c r="AC33" s="167">
        <v>52203.609291000088</v>
      </c>
      <c r="AD33" s="167">
        <v>51640.572631000003</v>
      </c>
      <c r="AE33" s="167">
        <v>53769.563613000006</v>
      </c>
      <c r="AF33" s="167">
        <v>53865.737665997687</v>
      </c>
      <c r="AG33" s="167">
        <v>51213.088835000002</v>
      </c>
      <c r="AH33" s="167">
        <v>47627.169710000002</v>
      </c>
      <c r="AI33" s="167">
        <v>49343.216600108011</v>
      </c>
      <c r="AJ33" s="167">
        <v>46260.452074886081</v>
      </c>
      <c r="AK33" s="167">
        <v>42595.881923356952</v>
      </c>
      <c r="AL33" s="167">
        <v>43153.469151461861</v>
      </c>
      <c r="AM33" s="167"/>
    </row>
    <row r="34" spans="2:41">
      <c r="B34" s="89" t="s">
        <v>95</v>
      </c>
      <c r="C34" s="88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>
        <f t="shared" ref="AA34" si="14">AA30-AA31</f>
        <v>26123.706557470694</v>
      </c>
      <c r="AB34" s="166">
        <f t="shared" ref="AB34:AH34" si="15">AB30-AB31</f>
        <v>24389.124817469827</v>
      </c>
      <c r="AC34" s="166">
        <f t="shared" si="15"/>
        <v>31394.401789741125</v>
      </c>
      <c r="AD34" s="166">
        <f t="shared" si="15"/>
        <v>34866.207255347137</v>
      </c>
      <c r="AE34" s="166">
        <f t="shared" si="15"/>
        <v>37972.616014497587</v>
      </c>
      <c r="AF34" s="166">
        <f t="shared" si="15"/>
        <v>32355.926250860444</v>
      </c>
      <c r="AG34" s="166">
        <f t="shared" si="15"/>
        <v>32840.800535610149</v>
      </c>
      <c r="AH34" s="166">
        <f t="shared" si="15"/>
        <v>35225.826473859692</v>
      </c>
      <c r="AI34" s="166">
        <f t="shared" ref="AI34" si="16">AI30-AI31</f>
        <v>35432.546623843838</v>
      </c>
      <c r="AJ34" s="166">
        <f t="shared" ref="AJ34:AM34" si="17">AJ30-AJ31</f>
        <v>31795.061786754028</v>
      </c>
      <c r="AK34" s="166">
        <f t="shared" si="17"/>
        <v>29395.709543543344</v>
      </c>
      <c r="AL34" s="166">
        <f t="shared" si="17"/>
        <v>29772.123931188544</v>
      </c>
      <c r="AM34" s="166">
        <f t="shared" si="17"/>
        <v>144141.68907995371</v>
      </c>
    </row>
    <row r="35" spans="2:41">
      <c r="B35" s="144" t="s">
        <v>96</v>
      </c>
      <c r="C35" s="146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7">
        <f t="shared" ref="AA35" si="18">AA31/AA30</f>
        <v>0.85233078075840707</v>
      </c>
      <c r="AB35" s="147">
        <f t="shared" ref="AB35:AH35" si="19">AB31/AB30</f>
        <v>0.86146697129047134</v>
      </c>
      <c r="AC35" s="147">
        <f t="shared" si="19"/>
        <v>0.82833235021793916</v>
      </c>
      <c r="AD35" s="147">
        <f t="shared" si="19"/>
        <v>0.81312135567320776</v>
      </c>
      <c r="AE35" s="147">
        <f t="shared" si="19"/>
        <v>0.80253865979943229</v>
      </c>
      <c r="AF35" s="147">
        <f t="shared" si="19"/>
        <v>0.82484982912580751</v>
      </c>
      <c r="AG35" s="147">
        <f t="shared" si="19"/>
        <v>0.81653807652325794</v>
      </c>
      <c r="AH35" s="147">
        <f t="shared" si="19"/>
        <v>0.79558747397867402</v>
      </c>
      <c r="AI35" s="147">
        <f t="shared" ref="AI35" si="20">AI31/AI30</f>
        <v>0.80323135515378108</v>
      </c>
      <c r="AJ35" s="147">
        <f t="shared" ref="AJ35:AL35" si="21">AJ31/AJ30</f>
        <v>0.80641760082418323</v>
      </c>
      <c r="AK35" s="147">
        <f t="shared" si="21"/>
        <v>0.80366195985870115</v>
      </c>
      <c r="AL35" s="147">
        <f t="shared" si="21"/>
        <v>0.80121055307315059</v>
      </c>
      <c r="AM35" s="147"/>
      <c r="AN35" s="29"/>
      <c r="AO35" s="29"/>
    </row>
    <row r="36" spans="2:41">
      <c r="B36" s="6" t="s">
        <v>10</v>
      </c>
      <c r="C36" s="21" t="s">
        <v>3</v>
      </c>
      <c r="D36" s="140">
        <f>THG!C21</f>
        <v>210027.18395860447</v>
      </c>
      <c r="E36" s="140">
        <f>THG!D21</f>
        <v>208432.18191371491</v>
      </c>
      <c r="F36" s="140">
        <f>THG!E21</f>
        <v>190277.45833234602</v>
      </c>
      <c r="G36" s="140">
        <f>THG!F21</f>
        <v>197005.98901780017</v>
      </c>
      <c r="H36" s="140">
        <f>THG!G21</f>
        <v>186224.55899557067</v>
      </c>
      <c r="I36" s="140">
        <f>THG!H21</f>
        <v>187711.0381336172</v>
      </c>
      <c r="J36" s="140">
        <f>THG!I21</f>
        <v>210884.61571151708</v>
      </c>
      <c r="K36" s="140">
        <f>THG!J21</f>
        <v>197654.22637239174</v>
      </c>
      <c r="L36" s="140">
        <f>THG!K21</f>
        <v>189510.66137449766</v>
      </c>
      <c r="M36" s="140">
        <f>THG!L21</f>
        <v>172831.28623370748</v>
      </c>
      <c r="N36" s="140">
        <f>THG!M21</f>
        <v>166789.2327464798</v>
      </c>
      <c r="O36" s="140">
        <f>THG!N21</f>
        <v>187079.21984220835</v>
      </c>
      <c r="P36" s="140">
        <f>THG!O21</f>
        <v>174080.60753960372</v>
      </c>
      <c r="Q36" s="140">
        <f>THG!P21</f>
        <v>164266.6269728427</v>
      </c>
      <c r="R36" s="140">
        <f>THG!Q21</f>
        <v>152473.15960192765</v>
      </c>
      <c r="S36" s="140">
        <f>THG!R21</f>
        <v>151285.73283419717</v>
      </c>
      <c r="T36" s="140">
        <f>THG!S21</f>
        <v>160695.3825205958</v>
      </c>
      <c r="U36" s="140">
        <f>THG!T21</f>
        <v>122282.72021639605</v>
      </c>
      <c r="V36" s="140">
        <f>THG!U21</f>
        <v>147343.3577831774</v>
      </c>
      <c r="W36" s="140">
        <f>THG!V21</f>
        <v>137066.61941838666</v>
      </c>
      <c r="X36" s="140">
        <f>THG!W21</f>
        <v>145034.37013705776</v>
      </c>
      <c r="Y36" s="140">
        <f>THG!X21</f>
        <v>124858.41015963606</v>
      </c>
      <c r="Z36" s="140">
        <f>THG!Y21</f>
        <v>129590.6503449369</v>
      </c>
      <c r="AA36" s="140">
        <f>THG!Z21</f>
        <v>140240.88491850218</v>
      </c>
      <c r="AB36" s="164">
        <f>THG!AA21</f>
        <v>118636.45805072534</v>
      </c>
      <c r="AC36" s="164">
        <f>THG!AB21</f>
        <v>124783.56999675544</v>
      </c>
      <c r="AD36" s="164">
        <f>THG!AC21</f>
        <v>124161.75413175649</v>
      </c>
      <c r="AE36" s="164">
        <f>THG!AD21</f>
        <v>122982.35301164565</v>
      </c>
      <c r="AF36" s="164">
        <f>THG!AE21</f>
        <v>117685.87978898628</v>
      </c>
      <c r="AG36" s="164">
        <f>THG!AF21</f>
        <v>123482.08895026859</v>
      </c>
      <c r="AH36" s="164">
        <f>THG!AG21</f>
        <v>121561.94533243483</v>
      </c>
      <c r="AI36" s="164">
        <f>THG!AH21</f>
        <v>117958.20040067063</v>
      </c>
      <c r="AJ36" s="164">
        <f>THG!AI21</f>
        <v>111312.60961258033</v>
      </c>
      <c r="AK36" s="164">
        <f>THG!AJ21</f>
        <v>102358.8389695604</v>
      </c>
      <c r="AL36" s="164">
        <f>THG!AK21</f>
        <v>99998.028143157135</v>
      </c>
      <c r="AM36" s="164">
        <f>THG!AL21</f>
        <v>103365.86664073804</v>
      </c>
      <c r="AN36" s="10"/>
      <c r="AO36" s="10"/>
    </row>
    <row r="37" spans="2:41">
      <c r="B37" s="18" t="s">
        <v>94</v>
      </c>
      <c r="C37" s="14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67">
        <f>SUM(AA38:AA40)</f>
        <v>585.24769300000003</v>
      </c>
      <c r="AB37" s="167">
        <f t="shared" ref="AB37:AH37" si="22">SUM(AB38:AB40)</f>
        <v>516.18188099999998</v>
      </c>
      <c r="AC37" s="167">
        <f t="shared" si="22"/>
        <v>530.94730500000003</v>
      </c>
      <c r="AD37" s="167">
        <f t="shared" si="22"/>
        <v>544.42831799999999</v>
      </c>
      <c r="AE37" s="167">
        <f t="shared" si="22"/>
        <v>558.57967399999995</v>
      </c>
      <c r="AF37" s="167">
        <f t="shared" si="22"/>
        <v>528.82127100000002</v>
      </c>
      <c r="AG37" s="167">
        <f t="shared" si="22"/>
        <v>546.12023899999997</v>
      </c>
      <c r="AH37" s="167">
        <f t="shared" si="22"/>
        <v>511.689075</v>
      </c>
      <c r="AI37" s="167">
        <f t="shared" ref="AI37" si="23">SUM(AI38:AI40)</f>
        <v>580.25822330106405</v>
      </c>
      <c r="AJ37" s="167">
        <f t="shared" ref="AJ37:AL37" si="24">SUM(AJ38:AJ40)</f>
        <v>540.47989125975494</v>
      </c>
      <c r="AK37" s="167">
        <f t="shared" si="24"/>
        <v>506.67387624183101</v>
      </c>
      <c r="AL37" s="167">
        <f t="shared" si="24"/>
        <v>504.20506229711799</v>
      </c>
      <c r="AM37" s="167"/>
    </row>
    <row r="38" spans="2:41" s="149" customFormat="1" outlineLevel="1">
      <c r="B38" s="18" t="s">
        <v>107</v>
      </c>
      <c r="C38" s="158"/>
      <c r="D38" s="167"/>
      <c r="E38" s="167" t="s">
        <v>142</v>
      </c>
      <c r="F38" s="167" t="s">
        <v>143</v>
      </c>
      <c r="G38" s="167" t="s">
        <v>148</v>
      </c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>
        <v>503.65472399999999</v>
      </c>
      <c r="AB38" s="167">
        <v>447.67140699999999</v>
      </c>
      <c r="AC38" s="167">
        <v>454.69653199999999</v>
      </c>
      <c r="AD38" s="167">
        <v>467.09596699999997</v>
      </c>
      <c r="AE38" s="167">
        <v>483.88504599999999</v>
      </c>
      <c r="AF38" s="167">
        <v>457.340214</v>
      </c>
      <c r="AG38" s="167">
        <v>462.75862799999999</v>
      </c>
      <c r="AH38" s="167">
        <v>433.05380100000002</v>
      </c>
      <c r="AI38" s="167">
        <v>488.82311776506401</v>
      </c>
      <c r="AJ38" s="167">
        <v>451.70046979775498</v>
      </c>
      <c r="AK38" s="167">
        <v>414.95970740583101</v>
      </c>
      <c r="AL38" s="167">
        <v>413.383567589118</v>
      </c>
      <c r="AM38" s="167"/>
    </row>
    <row r="39" spans="2:41" s="149" customFormat="1" outlineLevel="1">
      <c r="B39" s="18" t="s">
        <v>108</v>
      </c>
      <c r="C39" s="158"/>
      <c r="D39" s="167"/>
      <c r="E39" s="167" t="s">
        <v>142</v>
      </c>
      <c r="F39" s="167" t="s">
        <v>143</v>
      </c>
      <c r="G39" s="167" t="s">
        <v>149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/>
    </row>
    <row r="40" spans="2:41" s="149" customFormat="1" outlineLevel="1">
      <c r="B40" s="18" t="s">
        <v>109</v>
      </c>
      <c r="C40" s="158"/>
      <c r="D40" s="167"/>
      <c r="E40" s="167" t="s">
        <v>142</v>
      </c>
      <c r="F40" s="167" t="s">
        <v>143</v>
      </c>
      <c r="G40" s="167" t="s">
        <v>150</v>
      </c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>
        <v>81.592968999999997</v>
      </c>
      <c r="AB40" s="167">
        <v>68.510474000000002</v>
      </c>
      <c r="AC40" s="167">
        <v>76.250772999999995</v>
      </c>
      <c r="AD40" s="167">
        <v>77.332351000000003</v>
      </c>
      <c r="AE40" s="167">
        <v>74.694627999999994</v>
      </c>
      <c r="AF40" s="167">
        <v>71.481057000000007</v>
      </c>
      <c r="AG40" s="167">
        <v>83.361610999999996</v>
      </c>
      <c r="AH40" s="167">
        <v>78.635273999999995</v>
      </c>
      <c r="AI40" s="167">
        <v>91.435105535999995</v>
      </c>
      <c r="AJ40" s="167">
        <v>88.779421462000002</v>
      </c>
      <c r="AK40" s="167">
        <v>91.714168836000013</v>
      </c>
      <c r="AL40" s="167">
        <v>90.821494708000003</v>
      </c>
      <c r="AM40" s="167"/>
    </row>
    <row r="41" spans="2:41">
      <c r="B41" s="89" t="s">
        <v>95</v>
      </c>
      <c r="C41" s="88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>
        <f t="shared" ref="AA41:AH41" si="25">AA36-AA37</f>
        <v>139655.63722550217</v>
      </c>
      <c r="AB41" s="142">
        <f t="shared" si="25"/>
        <v>118120.27616972534</v>
      </c>
      <c r="AC41" s="142">
        <f t="shared" si="25"/>
        <v>124252.62269175544</v>
      </c>
      <c r="AD41" s="142">
        <f t="shared" si="25"/>
        <v>123617.32581375648</v>
      </c>
      <c r="AE41" s="142">
        <f t="shared" si="25"/>
        <v>122423.77333764566</v>
      </c>
      <c r="AF41" s="142">
        <f t="shared" si="25"/>
        <v>117157.05851798628</v>
      </c>
      <c r="AG41" s="142">
        <f t="shared" si="25"/>
        <v>122935.96871126859</v>
      </c>
      <c r="AH41" s="166">
        <f t="shared" si="25"/>
        <v>121050.25625743483</v>
      </c>
      <c r="AI41" s="166">
        <f t="shared" ref="AI41" si="26">AI36-AI37</f>
        <v>117377.94217736956</v>
      </c>
      <c r="AJ41" s="166">
        <f t="shared" ref="AJ41:AM41" si="27">AJ36-AJ37</f>
        <v>110772.12972132057</v>
      </c>
      <c r="AK41" s="166">
        <f t="shared" si="27"/>
        <v>101852.16509331857</v>
      </c>
      <c r="AL41" s="166">
        <f t="shared" si="27"/>
        <v>99493.82308086002</v>
      </c>
      <c r="AM41" s="166">
        <f t="shared" si="27"/>
        <v>103365.86664073804</v>
      </c>
    </row>
    <row r="42" spans="2:41">
      <c r="B42" s="144" t="s">
        <v>96</v>
      </c>
      <c r="C42" s="146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7">
        <f t="shared" ref="AA42:AH42" si="28">AA37/AA36</f>
        <v>4.1731602972992039E-3</v>
      </c>
      <c r="AB42" s="147">
        <f t="shared" si="28"/>
        <v>4.3509549212881618E-3</v>
      </c>
      <c r="AC42" s="147">
        <f t="shared" si="28"/>
        <v>4.2549456231602079E-3</v>
      </c>
      <c r="AD42" s="147">
        <f t="shared" si="28"/>
        <v>4.384831076260972E-3</v>
      </c>
      <c r="AE42" s="147">
        <f t="shared" si="28"/>
        <v>4.5419498027258103E-3</v>
      </c>
      <c r="AF42" s="147">
        <f t="shared" si="28"/>
        <v>4.4934980470740394E-3</v>
      </c>
      <c r="AG42" s="147">
        <f t="shared" si="28"/>
        <v>4.4226676406482358E-3</v>
      </c>
      <c r="AH42" s="147">
        <f t="shared" si="28"/>
        <v>4.2092866612218694E-3</v>
      </c>
      <c r="AI42" s="147">
        <f t="shared" ref="AI42" si="29">AI37/AI36</f>
        <v>4.9191851124389067E-3</v>
      </c>
      <c r="AJ42" s="147">
        <f t="shared" ref="AJ42:AL42" si="30">AJ37/AJ36</f>
        <v>4.8555136128860549E-3</v>
      </c>
      <c r="AK42" s="147">
        <f t="shared" si="30"/>
        <v>4.9499767811210359E-3</v>
      </c>
      <c r="AL42" s="147">
        <f t="shared" si="30"/>
        <v>5.0421500469519081E-3</v>
      </c>
      <c r="AM42" s="147"/>
      <c r="AN42" s="29"/>
      <c r="AO42" s="29"/>
    </row>
    <row r="43" spans="2:41">
      <c r="B43" s="124" t="s">
        <v>111</v>
      </c>
      <c r="C43" s="15"/>
      <c r="AH43" s="149"/>
      <c r="AI43" s="149"/>
    </row>
  </sheetData>
  <mergeCells count="1">
    <mergeCell ref="AO4:AP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M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9" customWidth="1"/>
    <col min="34" max="35" width="10.85546875" style="87" customWidth="1"/>
    <col min="36" max="38" width="10.85546875" style="149" customWidth="1"/>
    <col min="39" max="16384" width="11.42578125" style="2"/>
  </cols>
  <sheetData>
    <row r="1" spans="2:38"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2:38" ht="14.25" customHeight="1">
      <c r="B2" s="1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2:38" ht="22.5" customHeight="1">
      <c r="B3" s="3" t="s">
        <v>39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4">
        <v>43831</v>
      </c>
      <c r="AH4" s="154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5"/>
      <c r="AH5" s="141"/>
      <c r="AI5" s="26"/>
      <c r="AJ5" s="165"/>
      <c r="AK5" s="165"/>
      <c r="AL5" s="165"/>
    </row>
    <row r="6" spans="2:38" s="10" customFormat="1" ht="18.75" customHeight="1">
      <c r="B6" s="24" t="s">
        <v>22</v>
      </c>
      <c r="C6" s="25">
        <f t="shared" ref="C6:AI6" si="0">SUM(C9,C14,C21,C26,C32,C42)</f>
        <v>1253127.9182571664</v>
      </c>
      <c r="D6" s="25">
        <f t="shared" si="0"/>
        <v>1206392.3108399943</v>
      </c>
      <c r="E6" s="25">
        <f t="shared" si="0"/>
        <v>1157977.0139793011</v>
      </c>
      <c r="F6" s="25">
        <f t="shared" si="0"/>
        <v>1148482.5943343353</v>
      </c>
      <c r="G6" s="25">
        <f t="shared" si="0"/>
        <v>1130813.9439873674</v>
      </c>
      <c r="H6" s="25">
        <f t="shared" si="0"/>
        <v>1123404.0740930766</v>
      </c>
      <c r="I6" s="25">
        <f t="shared" si="0"/>
        <v>1140199.9254759233</v>
      </c>
      <c r="J6" s="25">
        <f t="shared" si="0"/>
        <v>1104782.5700183255</v>
      </c>
      <c r="K6" s="25">
        <f t="shared" si="0"/>
        <v>1079982.5165141046</v>
      </c>
      <c r="L6" s="25">
        <f t="shared" si="0"/>
        <v>1045537.5288294533</v>
      </c>
      <c r="M6" s="25">
        <f t="shared" si="0"/>
        <v>1042998.2200712566</v>
      </c>
      <c r="N6" s="25">
        <f t="shared" si="0"/>
        <v>1057082.3478959845</v>
      </c>
      <c r="O6" s="25">
        <f t="shared" si="0"/>
        <v>1036657.9981250252</v>
      </c>
      <c r="P6" s="25">
        <f t="shared" si="0"/>
        <v>1030538.7573645036</v>
      </c>
      <c r="Q6" s="25">
        <f t="shared" si="0"/>
        <v>1010676.3261823081</v>
      </c>
      <c r="R6" s="25">
        <f t="shared" si="0"/>
        <v>988947.49129220506</v>
      </c>
      <c r="S6" s="25">
        <f t="shared" si="0"/>
        <v>1001999.007896684</v>
      </c>
      <c r="T6" s="25">
        <f t="shared" si="0"/>
        <v>963510.85508296615</v>
      </c>
      <c r="U6" s="25">
        <f t="shared" si="0"/>
        <v>964925.11300799577</v>
      </c>
      <c r="V6" s="25">
        <f t="shared" si="0"/>
        <v>901284.53682444047</v>
      </c>
      <c r="W6" s="25">
        <f t="shared" si="0"/>
        <v>933249.92510833417</v>
      </c>
      <c r="X6" s="25">
        <f t="shared" si="0"/>
        <v>907615.19746442605</v>
      </c>
      <c r="Y6" s="25">
        <f t="shared" si="0"/>
        <v>916945.38514562685</v>
      </c>
      <c r="Z6" s="25">
        <f t="shared" si="0"/>
        <v>936610.24843068339</v>
      </c>
      <c r="AA6" s="25">
        <f t="shared" si="0"/>
        <v>895231.86610890087</v>
      </c>
      <c r="AB6" s="25">
        <f t="shared" si="0"/>
        <v>898605.65289834433</v>
      </c>
      <c r="AC6" s="25">
        <f t="shared" si="0"/>
        <v>899030.11520454078</v>
      </c>
      <c r="AD6" s="25">
        <f t="shared" si="0"/>
        <v>886279.76281201269</v>
      </c>
      <c r="AE6" s="25">
        <f t="shared" si="0"/>
        <v>850135.00067779701</v>
      </c>
      <c r="AF6" s="25">
        <f t="shared" si="0"/>
        <v>798000.5287200493</v>
      </c>
      <c r="AG6" s="164">
        <f t="shared" si="0"/>
        <v>730972.37165918807</v>
      </c>
      <c r="AH6" s="140">
        <f t="shared" si="0"/>
        <v>762772.66693794425</v>
      </c>
      <c r="AI6" s="25">
        <f t="shared" si="0"/>
        <v>749266.42416825367</v>
      </c>
      <c r="AJ6" s="164">
        <f t="shared" ref="AJ6:AL6" si="1">SUM(AJ9,AJ14,AJ21,AJ26,AJ32,AJ42)</f>
        <v>669578.36046385881</v>
      </c>
      <c r="AK6" s="164">
        <f t="shared" si="1"/>
        <v>649769.51839196251</v>
      </c>
      <c r="AL6" s="164">
        <f t="shared" si="1"/>
        <v>648866.63662894361</v>
      </c>
    </row>
    <row r="7" spans="2:38" s="10" customFormat="1" ht="18.75" customHeight="1">
      <c r="B7" s="22" t="s">
        <v>23</v>
      </c>
      <c r="C7" s="26">
        <f t="shared" ref="C7:AI7" si="2">SUM(C9,C14,C21,C26,C32,C42,C48)</f>
        <v>1289622.8092749978</v>
      </c>
      <c r="D7" s="26">
        <f t="shared" si="2"/>
        <v>1180808.4736185304</v>
      </c>
      <c r="E7" s="26">
        <f t="shared" si="2"/>
        <v>1143287.527968555</v>
      </c>
      <c r="F7" s="26">
        <f t="shared" si="2"/>
        <v>1119065.8410076364</v>
      </c>
      <c r="G7" s="26">
        <f t="shared" si="2"/>
        <v>1119695.2617601396</v>
      </c>
      <c r="H7" s="26">
        <f t="shared" si="2"/>
        <v>1119486.6103820044</v>
      </c>
      <c r="I7" s="26">
        <f t="shared" si="2"/>
        <v>1119090.4991317382</v>
      </c>
      <c r="J7" s="26">
        <f t="shared" si="2"/>
        <v>1096157.2644404799</v>
      </c>
      <c r="K7" s="26">
        <f t="shared" si="2"/>
        <v>1067816.505482154</v>
      </c>
      <c r="L7" s="26">
        <f t="shared" si="2"/>
        <v>1034654.6189136824</v>
      </c>
      <c r="M7" s="26">
        <f t="shared" si="2"/>
        <v>1050728.1638889303</v>
      </c>
      <c r="N7" s="26">
        <f t="shared" si="2"/>
        <v>1034922.1645611215</v>
      </c>
      <c r="O7" s="26">
        <f t="shared" si="2"/>
        <v>1032120.3629715493</v>
      </c>
      <c r="P7" s="26">
        <f t="shared" si="2"/>
        <v>1041402.632596393</v>
      </c>
      <c r="Q7" s="26">
        <f t="shared" si="2"/>
        <v>1024130.3658396336</v>
      </c>
      <c r="R7" s="26">
        <f t="shared" si="2"/>
        <v>1000237.8865812211</v>
      </c>
      <c r="S7" s="26">
        <f t="shared" si="2"/>
        <v>1021185.0975022299</v>
      </c>
      <c r="T7" s="26">
        <f t="shared" si="2"/>
        <v>985368.91104268131</v>
      </c>
      <c r="U7" s="26">
        <f t="shared" si="2"/>
        <v>962770.59454456251</v>
      </c>
      <c r="V7" s="26">
        <f t="shared" si="2"/>
        <v>904100.91306776705</v>
      </c>
      <c r="W7" s="26">
        <f t="shared" si="2"/>
        <v>944561.61547932378</v>
      </c>
      <c r="X7" s="26">
        <f t="shared" si="2"/>
        <v>918063.79722895043</v>
      </c>
      <c r="Y7" s="26">
        <f t="shared" si="2"/>
        <v>914742.09967435</v>
      </c>
      <c r="Z7" s="26">
        <f t="shared" si="2"/>
        <v>941081.61729367473</v>
      </c>
      <c r="AA7" s="26">
        <f t="shared" si="2"/>
        <v>908608.89320902713</v>
      </c>
      <c r="AB7" s="26">
        <f t="shared" si="2"/>
        <v>905194.1819238601</v>
      </c>
      <c r="AC7" s="26">
        <f t="shared" si="2"/>
        <v>910446.24053394457</v>
      </c>
      <c r="AD7" s="26">
        <f t="shared" si="2"/>
        <v>900055.86967384035</v>
      </c>
      <c r="AE7" s="26">
        <f t="shared" si="2"/>
        <v>908320.05266151752</v>
      </c>
      <c r="AF7" s="26">
        <f t="shared" si="2"/>
        <v>839104.02208335791</v>
      </c>
      <c r="AG7" s="165">
        <f t="shared" si="2"/>
        <v>778618.52777730266</v>
      </c>
      <c r="AH7" s="141">
        <f t="shared" si="2"/>
        <v>807721.37060433382</v>
      </c>
      <c r="AI7" s="26">
        <f t="shared" si="2"/>
        <v>806865.40514569264</v>
      </c>
      <c r="AJ7" s="165">
        <f t="shared" ref="AJ7:AL7" si="3">SUM(AJ9,AJ14,AJ21,AJ26,AJ32,AJ42,AJ48)</f>
        <v>742848.89254873304</v>
      </c>
      <c r="AK7" s="165">
        <f t="shared" si="3"/>
        <v>707608.37105093547</v>
      </c>
      <c r="AL7" s="165">
        <f t="shared" si="3"/>
        <v>675721.73801405216</v>
      </c>
    </row>
    <row r="8" spans="2:38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6"/>
      <c r="AH8" s="142"/>
      <c r="AI8" s="90"/>
      <c r="AJ8" s="166"/>
      <c r="AK8" s="166"/>
      <c r="AL8" s="166"/>
    </row>
    <row r="9" spans="2:38" s="10" customFormat="1" ht="18.75" customHeight="1">
      <c r="B9" s="5" t="s">
        <v>8</v>
      </c>
      <c r="C9" s="26">
        <f t="shared" ref="C9:AF9" si="4">SUMIF(C10:C12,"&lt;1E+307")</f>
        <v>474776.80337871826</v>
      </c>
      <c r="D9" s="26">
        <f t="shared" si="4"/>
        <v>459949.69694106851</v>
      </c>
      <c r="E9" s="26">
        <f t="shared" si="4"/>
        <v>435679.8886223163</v>
      </c>
      <c r="F9" s="26">
        <f t="shared" si="4"/>
        <v>425929.86593222641</v>
      </c>
      <c r="G9" s="26">
        <f t="shared" si="4"/>
        <v>420019.11236192664</v>
      </c>
      <c r="H9" s="26">
        <f t="shared" si="4"/>
        <v>406940.80164079944</v>
      </c>
      <c r="I9" s="26">
        <f t="shared" si="4"/>
        <v>412876.98466710915</v>
      </c>
      <c r="J9" s="26">
        <f t="shared" si="4"/>
        <v>391013.89023175917</v>
      </c>
      <c r="K9" s="26">
        <f t="shared" si="4"/>
        <v>390964.33555439627</v>
      </c>
      <c r="L9" s="26">
        <f t="shared" si="4"/>
        <v>379992.62346413964</v>
      </c>
      <c r="M9" s="26">
        <f t="shared" si="4"/>
        <v>390848.30928828631</v>
      </c>
      <c r="N9" s="26">
        <f t="shared" si="4"/>
        <v>400846.00433636975</v>
      </c>
      <c r="O9" s="26">
        <f t="shared" si="4"/>
        <v>400960.86881352036</v>
      </c>
      <c r="P9" s="26">
        <f t="shared" si="4"/>
        <v>416977.62414876738</v>
      </c>
      <c r="Q9" s="26">
        <f t="shared" si="4"/>
        <v>411596.29070904118</v>
      </c>
      <c r="R9" s="26">
        <f t="shared" si="4"/>
        <v>402604.87927863363</v>
      </c>
      <c r="S9" s="26">
        <f t="shared" si="4"/>
        <v>403126.84418138344</v>
      </c>
      <c r="T9" s="26">
        <f t="shared" si="4"/>
        <v>405779.41336919012</v>
      </c>
      <c r="U9" s="26">
        <f t="shared" si="4"/>
        <v>388020.3640358363</v>
      </c>
      <c r="V9" s="26">
        <f t="shared" si="4"/>
        <v>362052.52022394584</v>
      </c>
      <c r="W9" s="26">
        <f t="shared" si="4"/>
        <v>372588.7773313013</v>
      </c>
      <c r="X9" s="26">
        <f t="shared" si="4"/>
        <v>367936.8947441866</v>
      </c>
      <c r="Y9" s="26">
        <f t="shared" si="4"/>
        <v>379783.9746737188</v>
      </c>
      <c r="Z9" s="26">
        <f t="shared" si="4"/>
        <v>384368.39643022092</v>
      </c>
      <c r="AA9" s="26">
        <f t="shared" si="4"/>
        <v>363022.10331471544</v>
      </c>
      <c r="AB9" s="26">
        <f t="shared" si="4"/>
        <v>351692.1278761219</v>
      </c>
      <c r="AC9" s="26">
        <f t="shared" si="4"/>
        <v>346388.66096609633</v>
      </c>
      <c r="AD9" s="26">
        <f t="shared" si="4"/>
        <v>326856.20346245787</v>
      </c>
      <c r="AE9" s="26">
        <f t="shared" si="4"/>
        <v>311702.04315861606</v>
      </c>
      <c r="AF9" s="26">
        <f t="shared" si="4"/>
        <v>259177.61168640864</v>
      </c>
      <c r="AG9" s="165">
        <f t="shared" ref="AG9" si="5">SUMIF(AG10:AG12,"&lt;1E+307")</f>
        <v>220095.20850316857</v>
      </c>
      <c r="AH9" s="141">
        <f t="shared" ref="AH9" si="6">SUMIF(AH10:AH12,"&lt;1E+307")</f>
        <v>247782.48387902259</v>
      </c>
      <c r="AI9" s="26">
        <f t="shared" ref="AI9" si="7">SUMIF(AI10:AI12,"&lt;1E+307")</f>
        <v>258067.91392407115</v>
      </c>
      <c r="AJ9" s="165">
        <f t="shared" ref="AJ9:AL9" si="8">SUMIF(AJ10:AJ12,"&lt;1E+307")</f>
        <v>204828.88876446281</v>
      </c>
      <c r="AK9" s="165">
        <f t="shared" si="8"/>
        <v>189698.59171527956</v>
      </c>
      <c r="AL9" s="165">
        <f t="shared" si="8"/>
        <v>189087.95293816464</v>
      </c>
    </row>
    <row r="10" spans="2:38" ht="18.75" customHeight="1">
      <c r="B10" s="17" t="s">
        <v>0</v>
      </c>
      <c r="C10" s="27">
        <f>SUM('CO2'!C10,'CH4'!C10,N2O!C10)</f>
        <v>431082.90738965612</v>
      </c>
      <c r="D10" s="27">
        <f>SUM('CO2'!D10,'CH4'!D10,N2O!D10)</f>
        <v>417239.36685681116</v>
      </c>
      <c r="E10" s="27">
        <f>SUM('CO2'!E10,'CH4'!E10,N2O!E10)</f>
        <v>395545.59395169618</v>
      </c>
      <c r="F10" s="27">
        <f>SUM('CO2'!F10,'CH4'!F10,N2O!F10)</f>
        <v>384453.07304713194</v>
      </c>
      <c r="G10" s="27">
        <f>SUM('CO2'!G10,'CH4'!G10,N2O!G10)</f>
        <v>381961.68321181257</v>
      </c>
      <c r="H10" s="27">
        <f>SUM('CO2'!H10,'CH4'!H10,N2O!H10)</f>
        <v>370192.09022787947</v>
      </c>
      <c r="I10" s="27">
        <f>SUM('CO2'!I10,'CH4'!I10,N2O!I10)</f>
        <v>377049.69211686979</v>
      </c>
      <c r="J10" s="27">
        <f>SUM('CO2'!J10,'CH4'!J10,N2O!J10)</f>
        <v>355969.13829080091</v>
      </c>
      <c r="K10" s="27">
        <f>SUM('CO2'!K10,'CH4'!K10,N2O!K10)</f>
        <v>358861.67672242987</v>
      </c>
      <c r="L10" s="27">
        <f>SUM('CO2'!L10,'CH4'!L10,N2O!L10)</f>
        <v>346765.42246080033</v>
      </c>
      <c r="M10" s="27">
        <f>SUM('CO2'!M10,'CH4'!M10,N2O!M10)</f>
        <v>359790.519986481</v>
      </c>
      <c r="N10" s="27">
        <f>SUM('CO2'!N10,'CH4'!N10,N2O!N10)</f>
        <v>372369.15409815608</v>
      </c>
      <c r="O10" s="27">
        <f>SUM('CO2'!O10,'CH4'!O10,N2O!O10)</f>
        <v>373795.60706243274</v>
      </c>
      <c r="P10" s="27">
        <f>SUM('CO2'!P10,'CH4'!P10,N2O!P10)</f>
        <v>392023.98783130851</v>
      </c>
      <c r="Q10" s="27">
        <f>SUM('CO2'!Q10,'CH4'!Q10,N2O!Q10)</f>
        <v>389758.78249834076</v>
      </c>
      <c r="R10" s="27">
        <f>SUM('CO2'!R10,'CH4'!R10,N2O!R10)</f>
        <v>382841.3662394667</v>
      </c>
      <c r="S10" s="27">
        <f>SUM('CO2'!S10,'CH4'!S10,N2O!S10)</f>
        <v>385172.21422125603</v>
      </c>
      <c r="T10" s="27">
        <f>SUM('CO2'!T10,'CH4'!T10,N2O!T10)</f>
        <v>389765.52607134468</v>
      </c>
      <c r="U10" s="27">
        <f>SUM('CO2'!U10,'CH4'!U10,N2O!U10)</f>
        <v>372495.71678637358</v>
      </c>
      <c r="V10" s="27">
        <f>SUM('CO2'!V10,'CH4'!V10,N2O!V10)</f>
        <v>348468.51896704431</v>
      </c>
      <c r="W10" s="27">
        <f>SUM('CO2'!W10,'CH4'!W10,N2O!W10)</f>
        <v>359477.44399105967</v>
      </c>
      <c r="X10" s="27">
        <f>SUM('CO2'!X10,'CH4'!X10,N2O!X10)</f>
        <v>355224.84183579095</v>
      </c>
      <c r="Y10" s="27">
        <f>SUM('CO2'!Y10,'CH4'!Y10,N2O!Y10)</f>
        <v>366477.16448913445</v>
      </c>
      <c r="Z10" s="27">
        <f>SUM('CO2'!Z10,'CH4'!Z10,N2O!Z10)</f>
        <v>371692.09207023861</v>
      </c>
      <c r="AA10" s="27">
        <f>SUM('CO2'!AA10,'CH4'!AA10,N2O!AA10)</f>
        <v>351985.72679619171</v>
      </c>
      <c r="AB10" s="27">
        <f>SUM('CO2'!AB10,'CH4'!AB10,N2O!AB10)</f>
        <v>340786.85478773969</v>
      </c>
      <c r="AC10" s="27">
        <f>SUM('CO2'!AC10,'CH4'!AC10,N2O!AC10)</f>
        <v>336701.13727171445</v>
      </c>
      <c r="AD10" s="27">
        <f>SUM('CO2'!AD10,'CH4'!AD10,N2O!AD10)</f>
        <v>317361.04772226355</v>
      </c>
      <c r="AE10" s="27">
        <f>SUM('CO2'!AE10,'CH4'!AE10,N2O!AE10)</f>
        <v>303704.09732917452</v>
      </c>
      <c r="AF10" s="27">
        <f>SUM('CO2'!AF10,'CH4'!AF10,N2O!AF10)</f>
        <v>253258.89596900405</v>
      </c>
      <c r="AG10" s="166">
        <f>SUM('CO2'!AG10,'CH4'!AG10,N2O!AG10)</f>
        <v>215224.05890159446</v>
      </c>
      <c r="AH10" s="142">
        <f>SUM('CO2'!AH10,'CH4'!AH10,N2O!AH10)</f>
        <v>242929.82894524984</v>
      </c>
      <c r="AI10" s="90">
        <f>SUM('CO2'!AI10,'CH4'!AI10,N2O!AI10)</f>
        <v>252953.25482536489</v>
      </c>
      <c r="AJ10" s="166">
        <f>SUM('CO2'!AJ10,'CH4'!AJ10,N2O!AJ10)</f>
        <v>200288.58989840638</v>
      </c>
      <c r="AK10" s="166">
        <f>SUM('CO2'!AK10,'CH4'!AK10,N2O!AK10)</f>
        <v>185373.73865575445</v>
      </c>
      <c r="AL10" s="166">
        <f>SUM('CO2'!AL10,'CH4'!AL10,N2O!AL10)</f>
        <v>184688.44518978737</v>
      </c>
    </row>
    <row r="11" spans="2:38" s="87" customFormat="1" ht="18.75" customHeight="1">
      <c r="B11" s="18" t="s">
        <v>2</v>
      </c>
      <c r="C11" s="28">
        <f>SUM('CO2'!C11,'CH4'!C11,N2O!C11)</f>
        <v>1102.10405696</v>
      </c>
      <c r="D11" s="28">
        <f>SUM('CO2'!D11,'CH4'!D11,N2O!D11)</f>
        <v>1158.8224344799999</v>
      </c>
      <c r="E11" s="28">
        <f>SUM('CO2'!E11,'CH4'!E11,N2O!E11)</f>
        <v>1146.2562217999998</v>
      </c>
      <c r="F11" s="28">
        <f>SUM('CO2'!F11,'CH4'!F11,N2O!F11)</f>
        <v>1212.3214122399997</v>
      </c>
      <c r="G11" s="28">
        <f>SUM('CO2'!G11,'CH4'!G11,N2O!G11)</f>
        <v>1234.0664028799999</v>
      </c>
      <c r="H11" s="28">
        <f>SUM('CO2'!H11,'CH4'!H11,N2O!H11)</f>
        <v>1346.7070515999999</v>
      </c>
      <c r="I11" s="28">
        <f>SUM('CO2'!I11,'CH4'!I11,N2O!I11)</f>
        <v>1506.574448991111</v>
      </c>
      <c r="J11" s="28">
        <f>SUM('CO2'!J11,'CH4'!J11,N2O!J11)</f>
        <v>1438.946381291111</v>
      </c>
      <c r="K11" s="28">
        <f>SUM('CO2'!K11,'CH4'!K11,N2O!K11)</f>
        <v>1450.1051676533332</v>
      </c>
      <c r="L11" s="28">
        <f>SUM('CO2'!L11,'CH4'!L11,N2O!L11)</f>
        <v>1444.7117946111109</v>
      </c>
      <c r="M11" s="28">
        <f>SUM('CO2'!M11,'CH4'!M11,N2O!M11)</f>
        <v>1431.4026897155554</v>
      </c>
      <c r="N11" s="28">
        <f>SUM('CO2'!N11,'CH4'!N11,N2O!N11)</f>
        <v>1510.0546278799998</v>
      </c>
      <c r="O11" s="28">
        <f>SUM('CO2'!O11,'CH4'!O11,N2O!O11)</f>
        <v>1621.990885546667</v>
      </c>
      <c r="P11" s="28">
        <f>SUM('CO2'!P11,'CH4'!P11,N2O!P11)</f>
        <v>1524.7198654133331</v>
      </c>
      <c r="Q11" s="28">
        <f>SUM('CO2'!Q11,'CH4'!Q11,N2O!Q11)</f>
        <v>1535.4171847999999</v>
      </c>
      <c r="R11" s="28">
        <f>SUM('CO2'!R11,'CH4'!R11,N2O!R11)</f>
        <v>1500.7582990093968</v>
      </c>
      <c r="S11" s="28">
        <f>SUM('CO2'!S11,'CH4'!S11,N2O!S11)</f>
        <v>1693.1054120679664</v>
      </c>
      <c r="T11" s="28">
        <f>SUM('CO2'!T11,'CH4'!T11,N2O!T11)</f>
        <v>1382.0531606745299</v>
      </c>
      <c r="U11" s="28">
        <f>SUM('CO2'!U11,'CH4'!U11,N2O!U11)</f>
        <v>1451.9029456717501</v>
      </c>
      <c r="V11" s="28">
        <f>SUM('CO2'!V11,'CH4'!V11,N2O!V11)</f>
        <v>1369.4620426201034</v>
      </c>
      <c r="W11" s="28">
        <f>SUM('CO2'!W11,'CH4'!W11,N2O!W11)</f>
        <v>1191.1170131017598</v>
      </c>
      <c r="X11" s="28">
        <f>SUM('CO2'!X11,'CH4'!X11,N2O!X11)</f>
        <v>1243.3536741696603</v>
      </c>
      <c r="Y11" s="28">
        <f>SUM('CO2'!Y11,'CH4'!Y11,N2O!Y11)</f>
        <v>1252.5282991120798</v>
      </c>
      <c r="Z11" s="28">
        <f>SUM('CO2'!Z11,'CH4'!Z11,N2O!Z11)</f>
        <v>1489.187256704437</v>
      </c>
      <c r="AA11" s="28">
        <f>SUM('CO2'!AA11,'CH4'!AA11,N2O!AA11)</f>
        <v>1210.8557860088201</v>
      </c>
      <c r="AB11" s="28">
        <f>SUM('CO2'!AB11,'CH4'!AB11,N2O!AB11)</f>
        <v>1247.2838774839599</v>
      </c>
      <c r="AC11" s="28">
        <f>SUM('CO2'!AC11,'CH4'!AC11,N2O!AC11)</f>
        <v>1060.15261924334</v>
      </c>
      <c r="AD11" s="28">
        <f>SUM('CO2'!AD11,'CH4'!AD11,N2O!AD11)</f>
        <v>1268.2468122018599</v>
      </c>
      <c r="AE11" s="28">
        <f>SUM('CO2'!AE11,'CH4'!AE11,N2O!AE11)</f>
        <v>1346.9831013109099</v>
      </c>
      <c r="AF11" s="28">
        <f>SUM('CO2'!AF11,'CH4'!AF11,N2O!AF11)</f>
        <v>1209.8986901477897</v>
      </c>
      <c r="AG11" s="167">
        <f>SUM('CO2'!AG11,'CH4'!AG11,N2O!AG11)</f>
        <v>777.68307961819971</v>
      </c>
      <c r="AH11" s="143">
        <f>SUM('CO2'!AH11,'CH4'!AH11,N2O!AH11)</f>
        <v>847.24022320094002</v>
      </c>
      <c r="AI11" s="28">
        <f>SUM('CO2'!AI11,'CH4'!AI11,N2O!AI11)</f>
        <v>1345.3856555505599</v>
      </c>
      <c r="AJ11" s="167">
        <f>SUM('CO2'!AJ11,'CH4'!AJ11,N2O!AJ11)</f>
        <v>948.32682952623975</v>
      </c>
      <c r="AK11" s="167">
        <f>SUM('CO2'!AK11,'CH4'!AK11,N2O!AK11)</f>
        <v>683.82176935143991</v>
      </c>
      <c r="AL11" s="167">
        <f>SUM('CO2'!AL11,'CH4'!AL11,N2O!AL11)</f>
        <v>771.35139806571999</v>
      </c>
    </row>
    <row r="12" spans="2:38" s="87" customFormat="1" ht="18.75" customHeight="1">
      <c r="B12" s="89" t="s">
        <v>1</v>
      </c>
      <c r="C12" s="90">
        <f>SUM('CO2'!C12,'CH4'!C12,N2O!C12)</f>
        <v>42591.791932102176</v>
      </c>
      <c r="D12" s="90">
        <f>SUM('CO2'!D12,'CH4'!D12,N2O!D12)</f>
        <v>41551.507649777319</v>
      </c>
      <c r="E12" s="90">
        <f>SUM('CO2'!E12,'CH4'!E12,N2O!E12)</f>
        <v>38988.038448820145</v>
      </c>
      <c r="F12" s="90">
        <f>SUM('CO2'!F12,'CH4'!F12,N2O!F12)</f>
        <v>40264.471472854515</v>
      </c>
      <c r="G12" s="90">
        <f>SUM('CO2'!G12,'CH4'!G12,N2O!G12)</f>
        <v>36823.362747234052</v>
      </c>
      <c r="H12" s="90">
        <f>SUM('CO2'!H12,'CH4'!H12,N2O!H12)</f>
        <v>35402.004361320011</v>
      </c>
      <c r="I12" s="90">
        <f>SUM('CO2'!I12,'CH4'!I12,N2O!I12)</f>
        <v>34320.71810124824</v>
      </c>
      <c r="J12" s="90">
        <f>SUM('CO2'!J12,'CH4'!J12,N2O!J12)</f>
        <v>33605.805559667162</v>
      </c>
      <c r="K12" s="90">
        <f>SUM('CO2'!K12,'CH4'!K12,N2O!K12)</f>
        <v>30652.553664313054</v>
      </c>
      <c r="L12" s="90">
        <f>SUM('CO2'!L12,'CH4'!L12,N2O!L12)</f>
        <v>31782.48920872821</v>
      </c>
      <c r="M12" s="90">
        <f>SUM('CO2'!M12,'CH4'!M12,N2O!M12)</f>
        <v>29626.386612089747</v>
      </c>
      <c r="N12" s="90">
        <f>SUM('CO2'!N12,'CH4'!N12,N2O!N12)</f>
        <v>26966.795610333655</v>
      </c>
      <c r="O12" s="90">
        <f>SUM('CO2'!O12,'CH4'!O12,N2O!O12)</f>
        <v>25543.270865540955</v>
      </c>
      <c r="P12" s="90">
        <f>SUM('CO2'!P12,'CH4'!P12,N2O!P12)</f>
        <v>23428.91645204556</v>
      </c>
      <c r="Q12" s="90">
        <f>SUM('CO2'!Q12,'CH4'!Q12,N2O!Q12)</f>
        <v>20302.091025900379</v>
      </c>
      <c r="R12" s="90">
        <f>SUM('CO2'!R12,'CH4'!R12,N2O!R12)</f>
        <v>18262.754740157507</v>
      </c>
      <c r="S12" s="90">
        <f>SUM('CO2'!S12,'CH4'!S12,N2O!S12)</f>
        <v>16261.524548059455</v>
      </c>
      <c r="T12" s="90">
        <f>SUM('CO2'!T12,'CH4'!T12,N2O!T12)</f>
        <v>14631.834137170919</v>
      </c>
      <c r="U12" s="90">
        <f>SUM('CO2'!U12,'CH4'!U12,N2O!U12)</f>
        <v>14072.744303790942</v>
      </c>
      <c r="V12" s="90">
        <f>SUM('CO2'!V12,'CH4'!V12,N2O!V12)</f>
        <v>12214.539214281411</v>
      </c>
      <c r="W12" s="90">
        <f>SUM('CO2'!W12,'CH4'!W12,N2O!W12)</f>
        <v>11920.216327139897</v>
      </c>
      <c r="X12" s="90">
        <f>SUM('CO2'!X12,'CH4'!X12,N2O!X12)</f>
        <v>11468.699234225962</v>
      </c>
      <c r="Y12" s="90">
        <f>SUM('CO2'!Y12,'CH4'!Y12,N2O!Y12)</f>
        <v>12054.281885472272</v>
      </c>
      <c r="Z12" s="90">
        <f>SUM('CO2'!Z12,'CH4'!Z12,N2O!Z12)</f>
        <v>11187.117103277858</v>
      </c>
      <c r="AA12" s="90">
        <f>SUM('CO2'!AA12,'CH4'!AA12,N2O!AA12)</f>
        <v>9825.5207325149167</v>
      </c>
      <c r="AB12" s="90">
        <f>SUM('CO2'!AB12,'CH4'!AB12,N2O!AB12)</f>
        <v>9657.9892108982276</v>
      </c>
      <c r="AC12" s="90">
        <f>SUM('CO2'!AC12,'CH4'!AC12,N2O!AC12)</f>
        <v>8627.3710751384951</v>
      </c>
      <c r="AD12" s="90">
        <f>SUM('CO2'!AD12,'CH4'!AD12,N2O!AD12)</f>
        <v>8226.9089279924756</v>
      </c>
      <c r="AE12" s="90">
        <f>SUM('CO2'!AE12,'CH4'!AE12,N2O!AE12)</f>
        <v>6650.9627281306412</v>
      </c>
      <c r="AF12" s="90">
        <f>SUM('CO2'!AF12,'CH4'!AF12,N2O!AF12)</f>
        <v>4708.8170272567813</v>
      </c>
      <c r="AG12" s="166">
        <f>SUM('CO2'!AG12,'CH4'!AG12,N2O!AG12)</f>
        <v>4093.4665219559006</v>
      </c>
      <c r="AH12" s="142">
        <f>SUM('CO2'!AH12,'CH4'!AH12,N2O!AH12)</f>
        <v>4005.4147105718107</v>
      </c>
      <c r="AI12" s="90">
        <f>SUM('CO2'!AI12,'CH4'!AI12,N2O!AI12)</f>
        <v>3769.2734431557228</v>
      </c>
      <c r="AJ12" s="166">
        <f>SUM('CO2'!AJ12,'CH4'!AJ12,N2O!AJ12)</f>
        <v>3591.9720365301687</v>
      </c>
      <c r="AK12" s="166">
        <f>SUM('CO2'!AK12,'CH4'!AK12,N2O!AK12)</f>
        <v>3641.0312901736643</v>
      </c>
      <c r="AL12" s="166">
        <f>SUM('CO2'!AL12,'CH4'!AL12,N2O!AL12)</f>
        <v>3628.1563503115522</v>
      </c>
    </row>
    <row r="13" spans="2:38" s="87" customFormat="1" ht="18.75" customHeight="1">
      <c r="B13" s="1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67"/>
      <c r="AH13" s="143"/>
      <c r="AI13" s="28"/>
      <c r="AJ13" s="167"/>
      <c r="AK13" s="167"/>
      <c r="AL13" s="167"/>
    </row>
    <row r="14" spans="2:38" s="10" customFormat="1" ht="18.75" customHeight="1">
      <c r="B14" s="6" t="s">
        <v>9</v>
      </c>
      <c r="C14" s="25">
        <f t="shared" ref="C14:AI14" si="9">SUMIF(C15:C19,"&lt;1E+307")</f>
        <v>277641.53683104768</v>
      </c>
      <c r="D14" s="25">
        <f t="shared" si="9"/>
        <v>252314.26791676498</v>
      </c>
      <c r="E14" s="25">
        <f t="shared" si="9"/>
        <v>241004.79582556794</v>
      </c>
      <c r="F14" s="25">
        <f t="shared" si="9"/>
        <v>231283.09083618817</v>
      </c>
      <c r="G14" s="25">
        <f t="shared" si="9"/>
        <v>234840.56647210426</v>
      </c>
      <c r="H14" s="25">
        <f t="shared" si="9"/>
        <v>236720.99089581362</v>
      </c>
      <c r="I14" s="25">
        <f t="shared" si="9"/>
        <v>225512.80886653191</v>
      </c>
      <c r="J14" s="25">
        <f t="shared" si="9"/>
        <v>230065.61894107444</v>
      </c>
      <c r="K14" s="25">
        <f t="shared" si="9"/>
        <v>213088.45530491043</v>
      </c>
      <c r="L14" s="25">
        <f t="shared" si="9"/>
        <v>202999.3281748278</v>
      </c>
      <c r="M14" s="25">
        <f t="shared" si="9"/>
        <v>202493.48842715294</v>
      </c>
      <c r="N14" s="25">
        <f t="shared" si="9"/>
        <v>191951.88884084276</v>
      </c>
      <c r="O14" s="25">
        <f t="shared" si="9"/>
        <v>189741.93117948464</v>
      </c>
      <c r="P14" s="25">
        <f t="shared" si="9"/>
        <v>189059.79832589015</v>
      </c>
      <c r="Q14" s="25">
        <f t="shared" si="9"/>
        <v>189061.11663462431</v>
      </c>
      <c r="R14" s="25">
        <f t="shared" si="9"/>
        <v>186278.27466313215</v>
      </c>
      <c r="S14" s="25">
        <f t="shared" si="9"/>
        <v>190838.87444737041</v>
      </c>
      <c r="T14" s="25">
        <f t="shared" si="9"/>
        <v>198980.82880893149</v>
      </c>
      <c r="U14" s="25">
        <f t="shared" si="9"/>
        <v>195502.87698129108</v>
      </c>
      <c r="V14" s="25">
        <f t="shared" si="9"/>
        <v>169862.7423092137</v>
      </c>
      <c r="W14" s="25">
        <f t="shared" si="9"/>
        <v>183728.61264169111</v>
      </c>
      <c r="X14" s="25">
        <f t="shared" si="9"/>
        <v>181735.45932119651</v>
      </c>
      <c r="Y14" s="25">
        <f t="shared" si="9"/>
        <v>176988.06789199158</v>
      </c>
      <c r="Z14" s="25">
        <f t="shared" si="9"/>
        <v>176906.91866347069</v>
      </c>
      <c r="AA14" s="25">
        <f t="shared" si="9"/>
        <v>176052.77993746981</v>
      </c>
      <c r="AB14" s="25">
        <f t="shared" si="9"/>
        <v>182878.96309874119</v>
      </c>
      <c r="AC14" s="25">
        <f t="shared" si="9"/>
        <v>186571.38369634715</v>
      </c>
      <c r="AD14" s="25">
        <f t="shared" si="9"/>
        <v>192304.05291449762</v>
      </c>
      <c r="AE14" s="25">
        <f t="shared" si="9"/>
        <v>184732.48464085814</v>
      </c>
      <c r="AF14" s="25">
        <f t="shared" si="9"/>
        <v>179006.08427761015</v>
      </c>
      <c r="AG14" s="164">
        <f t="shared" si="9"/>
        <v>172327.14236985968</v>
      </c>
      <c r="AH14" s="140">
        <f t="shared" si="9"/>
        <v>180072.11795118847</v>
      </c>
      <c r="AI14" s="25">
        <f t="shared" si="9"/>
        <v>164245.62316678846</v>
      </c>
      <c r="AJ14" s="164">
        <f t="shared" ref="AJ14:AL14" si="10">SUMIF(AJ15:AJ19,"&lt;1E+307")</f>
        <v>149719.88883248548</v>
      </c>
      <c r="AK14" s="164">
        <f t="shared" si="10"/>
        <v>149767.12492260267</v>
      </c>
      <c r="AL14" s="164">
        <f t="shared" si="10"/>
        <v>144141.68907995371</v>
      </c>
    </row>
    <row r="15" spans="2:38" ht="18.75" customHeight="1">
      <c r="B15" s="18" t="s">
        <v>24</v>
      </c>
      <c r="C15" s="28">
        <f>SUM('CO2'!C15,'CH4'!C15,N2O!C15,'F-Gase'!C15)</f>
        <v>184425.35213591377</v>
      </c>
      <c r="D15" s="28">
        <f>SUM('CO2'!D15,'CH4'!D15,N2O!D15,'F-Gase'!D15)</f>
        <v>162765.49610647644</v>
      </c>
      <c r="E15" s="28">
        <f>SUM('CO2'!E15,'CH4'!E15,N2O!E15,'F-Gase'!E15)</f>
        <v>151475.84127168354</v>
      </c>
      <c r="F15" s="28">
        <f>SUM('CO2'!F15,'CH4'!F15,N2O!F15,'F-Gase'!F15)</f>
        <v>140491.25799936545</v>
      </c>
      <c r="G15" s="28">
        <f>SUM('CO2'!G15,'CH4'!G15,N2O!G15,'F-Gase'!G15)</f>
        <v>138524.68446449033</v>
      </c>
      <c r="H15" s="28">
        <f>SUM('CO2'!H15,'CH4'!H15,N2O!H15,'F-Gase'!H15)</f>
        <v>141976.32538941162</v>
      </c>
      <c r="I15" s="28">
        <f>SUM('CO2'!I15,'CH4'!I15,N2O!I15,'F-Gase'!I15)</f>
        <v>132650.77205457582</v>
      </c>
      <c r="J15" s="28">
        <f>SUM('CO2'!J15,'CH4'!J15,N2O!J15,'F-Gase'!J15)</f>
        <v>136617.74142325373</v>
      </c>
      <c r="K15" s="28">
        <f>SUM('CO2'!K15,'CH4'!K15,N2O!K15,'F-Gase'!K15)</f>
        <v>132094.71111251941</v>
      </c>
      <c r="L15" s="28">
        <f>SUM('CO2'!L15,'CH4'!L15,N2O!L15,'F-Gase'!L15)</f>
        <v>129585.732443115</v>
      </c>
      <c r="M15" s="28">
        <f>SUM('CO2'!M15,'CH4'!M15,N2O!M15,'F-Gase'!M15)</f>
        <v>125901.43130178365</v>
      </c>
      <c r="N15" s="28">
        <f>SUM('CO2'!N15,'CH4'!N15,N2O!N15,'F-Gase'!N15)</f>
        <v>118885.31417142146</v>
      </c>
      <c r="O15" s="28">
        <f>SUM('CO2'!O15,'CH4'!O15,N2O!O15,'F-Gase'!O15)</f>
        <v>118220.48928818786</v>
      </c>
      <c r="P15" s="28">
        <f>SUM('CO2'!P15,'CH4'!P15,N2O!P15,'F-Gase'!P15)</f>
        <v>114914.78984417417</v>
      </c>
      <c r="Q15" s="28">
        <f>SUM('CO2'!Q15,'CH4'!Q15,N2O!Q15,'F-Gase'!Q15)</f>
        <v>113149.80184639871</v>
      </c>
      <c r="R15" s="28">
        <f>SUM('CO2'!R15,'CH4'!R15,N2O!R15,'F-Gase'!R15)</f>
        <v>113525.83658675126</v>
      </c>
      <c r="S15" s="28">
        <f>SUM('CO2'!S15,'CH4'!S15,N2O!S15,'F-Gase'!S15)</f>
        <v>117780.68043452056</v>
      </c>
      <c r="T15" s="28">
        <f>SUM('CO2'!T15,'CH4'!T15,N2O!T15,'F-Gase'!T15)</f>
        <v>122755.20204475573</v>
      </c>
      <c r="U15" s="28">
        <f>SUM('CO2'!U15,'CH4'!U15,N2O!U15,'F-Gase'!U15)</f>
        <v>123443.2967803543</v>
      </c>
      <c r="V15" s="28">
        <f>SUM('CO2'!V15,'CH4'!V15,N2O!V15,'F-Gase'!V15)</f>
        <v>105776.93595349437</v>
      </c>
      <c r="W15" s="28">
        <f>SUM('CO2'!W15,'CH4'!W15,N2O!W15,'F-Gase'!W15)</f>
        <v>121878.2935580367</v>
      </c>
      <c r="X15" s="28">
        <f>SUM('CO2'!X15,'CH4'!X15,N2O!X15,'F-Gase'!X15)</f>
        <v>118457.13788466228</v>
      </c>
      <c r="Y15" s="28">
        <f>SUM('CO2'!Y15,'CH4'!Y15,N2O!Y15,'F-Gase'!Y15)</f>
        <v>116497.45562377133</v>
      </c>
      <c r="Z15" s="28">
        <f>SUM('CO2'!Z15,'CH4'!Z15,N2O!Z15,'F-Gase'!Z15)</f>
        <v>116508.05205792247</v>
      </c>
      <c r="AA15" s="28">
        <f>SUM('CO2'!AA15,'CH4'!AA15,N2O!AA15,'F-Gase'!AA15)</f>
        <v>115352.37180836315</v>
      </c>
      <c r="AB15" s="28">
        <f>SUM('CO2'!AB15,'CH4'!AB15,N2O!AB15,'F-Gase'!AB15)</f>
        <v>122999.38559095509</v>
      </c>
      <c r="AC15" s="28">
        <f>SUM('CO2'!AC15,'CH4'!AC15,N2O!AC15,'F-Gase'!AC15)</f>
        <v>125119.65667777926</v>
      </c>
      <c r="AD15" s="28">
        <f>SUM('CO2'!AD15,'CH4'!AD15,N2O!AD15,'F-Gase'!AD15)</f>
        <v>127023.42396235412</v>
      </c>
      <c r="AE15" s="28">
        <f>SUM('CO2'!AE15,'CH4'!AE15,N2O!AE15,'F-Gase'!AE15)</f>
        <v>122497.50741859441</v>
      </c>
      <c r="AF15" s="28">
        <f>SUM('CO2'!AF15,'CH4'!AF15,N2O!AF15,'F-Gase'!AF15)</f>
        <v>119944.28360423438</v>
      </c>
      <c r="AG15" s="167">
        <f>SUM('CO2'!AG15,'CH4'!AG15,N2O!AG15,'F-Gase'!AG15)</f>
        <v>117393.94415512712</v>
      </c>
      <c r="AH15" s="143">
        <f>SUM('CO2'!AH15,'CH4'!AH15,N2O!AH15,'F-Gase'!AH15)</f>
        <v>123244.96321975518</v>
      </c>
      <c r="AI15" s="28">
        <f>SUM('CO2'!AI15,'CH4'!AI15,N2O!AI15,'F-Gase'!AI15)</f>
        <v>112800.11984361279</v>
      </c>
      <c r="AJ15" s="167">
        <f>SUM('CO2'!AJ15,'CH4'!AJ15,N2O!AJ15,'F-Gase'!AJ15)</f>
        <v>102697.41676936502</v>
      </c>
      <c r="AK15" s="167">
        <f>SUM('CO2'!AK15,'CH4'!AK15,N2O!AK15,'F-Gase'!AK15)</f>
        <v>101877.77321941945</v>
      </c>
      <c r="AL15" s="167">
        <f>SUM('CO2'!AL15,'CH4'!AL15,N2O!AL15,'F-Gase'!AL15)</f>
        <v>98206.709345416501</v>
      </c>
    </row>
    <row r="16" spans="2:38" ht="18.75" customHeight="1">
      <c r="B16" s="17" t="s">
        <v>11</v>
      </c>
      <c r="C16" s="27">
        <f>SUM('CO2'!C16,'CH4'!C16,N2O!C16,'F-Gase'!C16)</f>
        <v>23522.37700335959</v>
      </c>
      <c r="D16" s="27">
        <f>SUM('CO2'!D16,'CH4'!D16,N2O!D16,'F-Gase'!D16)</f>
        <v>21349.780691256252</v>
      </c>
      <c r="E16" s="27">
        <f>SUM('CO2'!E16,'CH4'!E16,N2O!E16,'F-Gase'!E16)</f>
        <v>22135.054345486107</v>
      </c>
      <c r="F16" s="27">
        <f>SUM('CO2'!F16,'CH4'!F16,N2O!F16,'F-Gase'!F16)</f>
        <v>22530.875775271143</v>
      </c>
      <c r="G16" s="27">
        <f>SUM('CO2'!G16,'CH4'!G16,N2O!G16,'F-Gase'!G16)</f>
        <v>24133.10308054736</v>
      </c>
      <c r="H16" s="27">
        <f>SUM('CO2'!H16,'CH4'!H16,N2O!H16,'F-Gase'!H16)</f>
        <v>24487.421341301233</v>
      </c>
      <c r="I16" s="27">
        <f>SUM('CO2'!I16,'CH4'!I16,N2O!I16,'F-Gase'!I16)</f>
        <v>23079.988502054999</v>
      </c>
      <c r="J16" s="27">
        <f>SUM('CO2'!J16,'CH4'!J16,N2O!J16,'F-Gase'!J16)</f>
        <v>23600.760284535903</v>
      </c>
      <c r="K16" s="27">
        <f>SUM('CO2'!K16,'CH4'!K16,N2O!K16,'F-Gase'!K16)</f>
        <v>23600.618765187221</v>
      </c>
      <c r="L16" s="27">
        <f>SUM('CO2'!L16,'CH4'!L16,N2O!L16,'F-Gase'!L16)</f>
        <v>23710.802547403946</v>
      </c>
      <c r="M16" s="27">
        <f>SUM('CO2'!M16,'CH4'!M16,N2O!M16,'F-Gase'!M16)</f>
        <v>23265.792589337652</v>
      </c>
      <c r="N16" s="27">
        <f>SUM('CO2'!N16,'CH4'!N16,N2O!N16,'F-Gase'!N16)</f>
        <v>21051.263216725929</v>
      </c>
      <c r="O16" s="27">
        <f>SUM('CO2'!O16,'CH4'!O16,N2O!O16,'F-Gase'!O16)</f>
        <v>20147.498665345225</v>
      </c>
      <c r="P16" s="27">
        <f>SUM('CO2'!P16,'CH4'!P16,N2O!P16,'F-Gase'!P16)</f>
        <v>20878.76077120662</v>
      </c>
      <c r="Q16" s="27">
        <f>SUM('CO2'!Q16,'CH4'!Q16,N2O!Q16,'F-Gase'!Q16)</f>
        <v>21406.357267773958</v>
      </c>
      <c r="R16" s="27">
        <f>SUM('CO2'!R16,'CH4'!R16,N2O!R16,'F-Gase'!R16)</f>
        <v>20125.529017977478</v>
      </c>
      <c r="S16" s="27">
        <f>SUM('CO2'!S16,'CH4'!S16,N2O!S16,'F-Gase'!S16)</f>
        <v>20599.789467911356</v>
      </c>
      <c r="T16" s="27">
        <f>SUM('CO2'!T16,'CH4'!T16,N2O!T16,'F-Gase'!T16)</f>
        <v>21913.613437772234</v>
      </c>
      <c r="U16" s="27">
        <f>SUM('CO2'!U16,'CH4'!U16,N2O!U16,'F-Gase'!U16)</f>
        <v>20885.548247507759</v>
      </c>
      <c r="V16" s="27">
        <f>SUM('CO2'!V16,'CH4'!V16,N2O!V16,'F-Gase'!V16)</f>
        <v>18501.861688396122</v>
      </c>
      <c r="W16" s="27">
        <f>SUM('CO2'!W16,'CH4'!W16,N2O!W16,'F-Gase'!W16)</f>
        <v>18977.182026466369</v>
      </c>
      <c r="X16" s="27">
        <f>SUM('CO2'!X16,'CH4'!X16,N2O!X16,'F-Gase'!X16)</f>
        <v>20178.988661134783</v>
      </c>
      <c r="Y16" s="27">
        <f>SUM('CO2'!Y16,'CH4'!Y16,N2O!Y16,'F-Gase'!Y16)</f>
        <v>19665.716849405289</v>
      </c>
      <c r="Z16" s="27">
        <f>SUM('CO2'!Z16,'CH4'!Z16,N2O!Z16,'F-Gase'!Z16)</f>
        <v>19073.370355693482</v>
      </c>
      <c r="AA16" s="27">
        <f>SUM('CO2'!AA16,'CH4'!AA16,N2O!AA16,'F-Gase'!AA16)</f>
        <v>19638.083771418034</v>
      </c>
      <c r="AB16" s="27">
        <f>SUM('CO2'!AB16,'CH4'!AB16,N2O!AB16,'F-Gase'!AB16)</f>
        <v>19221.312421853476</v>
      </c>
      <c r="AC16" s="27">
        <f>SUM('CO2'!AC16,'CH4'!AC16,N2O!AC16,'F-Gase'!AC16)</f>
        <v>19228.260527882798</v>
      </c>
      <c r="AD16" s="27">
        <f>SUM('CO2'!AD16,'CH4'!AD16,N2O!AD16,'F-Gase'!AD16)</f>
        <v>19933.552517479937</v>
      </c>
      <c r="AE16" s="27">
        <f>SUM('CO2'!AE16,'CH4'!AE16,N2O!AE16,'F-Gase'!AE16)</f>
        <v>19807.482634354652</v>
      </c>
      <c r="AF16" s="27">
        <f>SUM('CO2'!AF16,'CH4'!AF16,N2O!AF16,'F-Gase'!AF16)</f>
        <v>19569.242430160608</v>
      </c>
      <c r="AG16" s="166">
        <f>SUM('CO2'!AG16,'CH4'!AG16,N2O!AG16,'F-Gase'!AG16)</f>
        <v>19201.696960959183</v>
      </c>
      <c r="AH16" s="142">
        <f>SUM('CO2'!AH16,'CH4'!AH16,N2O!AH16,'F-Gase'!AH16)</f>
        <v>19994.870896526314</v>
      </c>
      <c r="AI16" s="90">
        <f>SUM('CO2'!AI16,'CH4'!AI16,N2O!AI16,'F-Gase'!AI16)</f>
        <v>18727.334137133912</v>
      </c>
      <c r="AJ16" s="166">
        <f>SUM('CO2'!AJ16,'CH4'!AJ16,N2O!AJ16,'F-Gase'!AJ16)</f>
        <v>15964.597919855491</v>
      </c>
      <c r="AK16" s="166">
        <f>SUM('CO2'!AK16,'CH4'!AK16,N2O!AK16,'F-Gase'!AK16)</f>
        <v>15079.792072213853</v>
      </c>
      <c r="AL16" s="166">
        <f>SUM('CO2'!AL16,'CH4'!AL16,N2O!AL16,'F-Gase'!AL16)</f>
        <v>14818.660824693799</v>
      </c>
    </row>
    <row r="17" spans="2:39" ht="18.75" customHeight="1">
      <c r="B17" s="18" t="s">
        <v>12</v>
      </c>
      <c r="C17" s="28">
        <f>SUM('CO2'!C17,'CH4'!C17,N2O!C17,'F-Gase'!C17)</f>
        <v>32297.582415916815</v>
      </c>
      <c r="D17" s="28">
        <f>SUM('CO2'!D17,'CH4'!D17,N2O!D17,'F-Gase'!D17)</f>
        <v>31575.972062529909</v>
      </c>
      <c r="E17" s="28">
        <f>SUM('CO2'!E17,'CH4'!E17,N2O!E17,'F-Gase'!E17)</f>
        <v>33844.447002964182</v>
      </c>
      <c r="F17" s="28">
        <f>SUM('CO2'!F17,'CH4'!F17,N2O!F17,'F-Gase'!F17)</f>
        <v>31678.08972126618</v>
      </c>
      <c r="G17" s="28">
        <f>SUM('CO2'!G17,'CH4'!G17,N2O!G17,'F-Gase'!G17)</f>
        <v>34211.682576666077</v>
      </c>
      <c r="H17" s="28">
        <f>SUM('CO2'!H17,'CH4'!H17,N2O!H17,'F-Gase'!H17)</f>
        <v>34096.785613501226</v>
      </c>
      <c r="I17" s="28">
        <f>SUM('CO2'!I17,'CH4'!I17,N2O!I17,'F-Gase'!I17)</f>
        <v>33989.804676994419</v>
      </c>
      <c r="J17" s="28">
        <f>SUM('CO2'!J17,'CH4'!J17,N2O!J17,'F-Gase'!J17)</f>
        <v>31694.4855572005</v>
      </c>
      <c r="K17" s="28">
        <f>SUM('CO2'!K17,'CH4'!K17,N2O!K17,'F-Gase'!K17)</f>
        <v>20431.336526172428</v>
      </c>
      <c r="L17" s="28">
        <f>SUM('CO2'!L17,'CH4'!L17,N2O!L17,'F-Gase'!L17)</f>
        <v>16436.368831195679</v>
      </c>
      <c r="M17" s="28">
        <f>SUM('CO2'!M17,'CH4'!M17,N2O!M17,'F-Gase'!M17)</f>
        <v>15219.978677815148</v>
      </c>
      <c r="N17" s="28">
        <f>SUM('CO2'!N17,'CH4'!N17,N2O!N17,'F-Gase'!N17)</f>
        <v>16235.39801744507</v>
      </c>
      <c r="O17" s="28">
        <f>SUM('CO2'!O17,'CH4'!O17,N2O!O17,'F-Gase'!O17)</f>
        <v>17423.587293485463</v>
      </c>
      <c r="P17" s="28">
        <f>SUM('CO2'!P17,'CH4'!P17,N2O!P17,'F-Gase'!P17)</f>
        <v>16999.941075182589</v>
      </c>
      <c r="Q17" s="28">
        <f>SUM('CO2'!Q17,'CH4'!Q17,N2O!Q17,'F-Gase'!Q17)</f>
        <v>17790.146306777646</v>
      </c>
      <c r="R17" s="28">
        <f>SUM('CO2'!R17,'CH4'!R17,N2O!R17,'F-Gase'!R17)</f>
        <v>17332.026338773718</v>
      </c>
      <c r="S17" s="28">
        <f>SUM('CO2'!S17,'CH4'!S17,N2O!S17,'F-Gase'!S17)</f>
        <v>16380.519013012214</v>
      </c>
      <c r="T17" s="28">
        <f>SUM('CO2'!T17,'CH4'!T17,N2O!T17,'F-Gase'!T17)</f>
        <v>18755.143520920927</v>
      </c>
      <c r="U17" s="28">
        <f>SUM('CO2'!U17,'CH4'!U17,N2O!U17,'F-Gase'!U17)</f>
        <v>17427.401996723231</v>
      </c>
      <c r="V17" s="28">
        <f>SUM('CO2'!V17,'CH4'!V17,N2O!V17,'F-Gase'!V17)</f>
        <v>17113.612372568714</v>
      </c>
      <c r="W17" s="28">
        <f>SUM('CO2'!W17,'CH4'!W17,N2O!W17,'F-Gase'!W17)</f>
        <v>10321.726430934476</v>
      </c>
      <c r="X17" s="28">
        <f>SUM('CO2'!X17,'CH4'!X17,N2O!X17,'F-Gase'!X17)</f>
        <v>9690.6239952800242</v>
      </c>
      <c r="Y17" s="28">
        <f>SUM('CO2'!Y17,'CH4'!Y17,N2O!Y17,'F-Gase'!Y17)</f>
        <v>9546.6180510602026</v>
      </c>
      <c r="Z17" s="28">
        <f>SUM('CO2'!Z17,'CH4'!Z17,N2O!Z17,'F-Gase'!Z17)</f>
        <v>9571.0601504680944</v>
      </c>
      <c r="AA17" s="28">
        <f>SUM('CO2'!AA17,'CH4'!AA17,N2O!AA17,'F-Gase'!AA17)</f>
        <v>7529.0923810181393</v>
      </c>
      <c r="AB17" s="28">
        <f>SUM('CO2'!AB17,'CH4'!AB17,N2O!AB17,'F-Gase'!AB17)</f>
        <v>6870.3113053431689</v>
      </c>
      <c r="AC17" s="28">
        <f>SUM('CO2'!AC17,'CH4'!AC17,N2O!AC17,'F-Gase'!AC17)</f>
        <v>6900.0958907252616</v>
      </c>
      <c r="AD17" s="28">
        <f>SUM('CO2'!AD17,'CH4'!AD17,N2O!AD17,'F-Gase'!AD17)</f>
        <v>6873.0324905706793</v>
      </c>
      <c r="AE17" s="28">
        <f>SUM('CO2'!AE17,'CH4'!AE17,N2O!AE17,'F-Gase'!AE17)</f>
        <v>6701.9437998059229</v>
      </c>
      <c r="AF17" s="28">
        <f>SUM('CO2'!AF17,'CH4'!AF17,N2O!AF17,'F-Gase'!AF17)</f>
        <v>6481.8011790620621</v>
      </c>
      <c r="AG17" s="167">
        <f>SUM('CO2'!AG17,'CH4'!AG17,N2O!AG17,'F-Gase'!AG17)</f>
        <v>6500.6026590411284</v>
      </c>
      <c r="AH17" s="143">
        <f>SUM('CO2'!AH17,'CH4'!AH17,N2O!AH17,'F-Gase'!AH17)</f>
        <v>6360.7577455794772</v>
      </c>
      <c r="AI17" s="28">
        <f>SUM('CO2'!AI17,'CH4'!AI17,N2O!AI17,'F-Gase'!AI17)</f>
        <v>5157.1590619762592</v>
      </c>
      <c r="AJ17" s="167">
        <f>SUM('CO2'!AJ17,'CH4'!AJ17,N2O!AJ17,'F-Gase'!AJ17)</f>
        <v>4713.9711120167922</v>
      </c>
      <c r="AK17" s="167">
        <f>SUM('CO2'!AK17,'CH4'!AK17,N2O!AK17,'F-Gase'!AK17)</f>
        <v>5034.86749227578</v>
      </c>
      <c r="AL17" s="167">
        <f>SUM('CO2'!AL17,'CH4'!AL17,N2O!AL17,'F-Gase'!AL17)</f>
        <v>5053.9246795849649</v>
      </c>
    </row>
    <row r="18" spans="2:39" ht="18.75" customHeight="1">
      <c r="B18" s="17" t="s">
        <v>13</v>
      </c>
      <c r="C18" s="27">
        <f>SUM('CO2'!C18,'CH4'!C18,N2O!C18,'F-Gase'!C18)</f>
        <v>27900.741562229996</v>
      </c>
      <c r="D18" s="27">
        <f>SUM('CO2'!D18,'CH4'!D18,N2O!D18,'F-Gase'!D18)</f>
        <v>26909.364120500002</v>
      </c>
      <c r="E18" s="27">
        <f>SUM('CO2'!E18,'CH4'!E18,N2O!E18,'F-Gase'!E18)</f>
        <v>23255.906489500001</v>
      </c>
      <c r="F18" s="27">
        <f>SUM('CO2'!F18,'CH4'!F18,N2O!F18,'F-Gase'!F18)</f>
        <v>23565.25903976</v>
      </c>
      <c r="G18" s="27">
        <f>SUM('CO2'!G18,'CH4'!G18,N2O!G18,'F-Gase'!G18)</f>
        <v>24695.446330703999</v>
      </c>
      <c r="H18" s="27">
        <f>SUM('CO2'!H18,'CH4'!H18,N2O!H18,'F-Gase'!H18)</f>
        <v>22632.392640241073</v>
      </c>
      <c r="I18" s="27">
        <f>SUM('CO2'!I18,'CH4'!I18,N2O!I18,'F-Gase'!I18)</f>
        <v>21829.7532666474</v>
      </c>
      <c r="J18" s="27">
        <f>SUM('CO2'!J18,'CH4'!J18,N2O!J18,'F-Gase'!J18)</f>
        <v>23450.320019460501</v>
      </c>
      <c r="K18" s="27">
        <f>SUM('CO2'!K18,'CH4'!K18,N2O!K18,'F-Gase'!K18)</f>
        <v>21782.37078270832</v>
      </c>
      <c r="L18" s="27">
        <f>SUM('CO2'!L18,'CH4'!L18,N2O!L18,'F-Gase'!L18)</f>
        <v>19397.499676809526</v>
      </c>
      <c r="M18" s="27">
        <f>SUM('CO2'!M18,'CH4'!M18,N2O!M18,'F-Gase'!M18)</f>
        <v>24183.512989136987</v>
      </c>
      <c r="N18" s="27">
        <f>SUM('CO2'!N18,'CH4'!N18,N2O!N18,'F-Gase'!N18)</f>
        <v>21337.53162310474</v>
      </c>
      <c r="O18" s="27">
        <f>SUM('CO2'!O18,'CH4'!O18,N2O!O18,'F-Gase'!O18)</f>
        <v>19791.080339131357</v>
      </c>
      <c r="P18" s="27">
        <f>SUM('CO2'!P18,'CH4'!P18,N2O!P18,'F-Gase'!P18)</f>
        <v>22094.904205691677</v>
      </c>
      <c r="Q18" s="27">
        <f>SUM('CO2'!Q18,'CH4'!Q18,N2O!Q18,'F-Gase'!Q18)</f>
        <v>22204.629929218438</v>
      </c>
      <c r="R18" s="27">
        <f>SUM('CO2'!R18,'CH4'!R18,N2O!R18,'F-Gase'!R18)</f>
        <v>20790.341029189498</v>
      </c>
      <c r="S18" s="27">
        <f>SUM('CO2'!S18,'CH4'!S18,N2O!S18,'F-Gase'!S18)</f>
        <v>21110.097203638776</v>
      </c>
      <c r="T18" s="27">
        <f>SUM('CO2'!T18,'CH4'!T18,N2O!T18,'F-Gase'!T18)</f>
        <v>20101.176629854966</v>
      </c>
      <c r="U18" s="27">
        <f>SUM('CO2'!U18,'CH4'!U18,N2O!U18,'F-Gase'!U18)</f>
        <v>18515.135933570389</v>
      </c>
      <c r="V18" s="27">
        <f>SUM('CO2'!V18,'CH4'!V18,N2O!V18,'F-Gase'!V18)</f>
        <v>13137.54045853772</v>
      </c>
      <c r="W18" s="27">
        <f>SUM('CO2'!W18,'CH4'!W18,N2O!W18,'F-Gase'!W18)</f>
        <v>16661.484410414829</v>
      </c>
      <c r="X18" s="27">
        <f>SUM('CO2'!X18,'CH4'!X18,N2O!X18,'F-Gase'!X18)</f>
        <v>17236.508485664184</v>
      </c>
      <c r="Y18" s="27">
        <f>SUM('CO2'!Y18,'CH4'!Y18,N2O!Y18,'F-Gase'!Y18)</f>
        <v>14879.060608255011</v>
      </c>
      <c r="Z18" s="27">
        <f>SUM('CO2'!Z18,'CH4'!Z18,N2O!Z18,'F-Gase'!Z18)</f>
        <v>15375.044641465658</v>
      </c>
      <c r="AA18" s="27">
        <f>SUM('CO2'!AA18,'CH4'!AA18,N2O!AA18,'F-Gase'!AA18)</f>
        <v>17114.747878477647</v>
      </c>
      <c r="AB18" s="27">
        <f>SUM('CO2'!AB18,'CH4'!AB18,N2O!AB18,'F-Gase'!AB18)</f>
        <v>17021.551401093639</v>
      </c>
      <c r="AC18" s="27">
        <f>SUM('CO2'!AC18,'CH4'!AC18,N2O!AC18,'F-Gase'!AC18)</f>
        <v>18583.937820572955</v>
      </c>
      <c r="AD18" s="27">
        <f>SUM('CO2'!AD18,'CH4'!AD18,N2O!AD18,'F-Gase'!AD18)</f>
        <v>21822.335931970367</v>
      </c>
      <c r="AE18" s="27">
        <f>SUM('CO2'!AE18,'CH4'!AE18,N2O!AE18,'F-Gase'!AE18)</f>
        <v>20072.751583806301</v>
      </c>
      <c r="AF18" s="27">
        <f>SUM('CO2'!AF18,'CH4'!AF18,N2O!AF18,'F-Gase'!AF18)</f>
        <v>18183.509535573565</v>
      </c>
      <c r="AG18" s="166">
        <f>SUM('CO2'!AG18,'CH4'!AG18,N2O!AG18,'F-Gase'!AG18)</f>
        <v>15970.708376422926</v>
      </c>
      <c r="AH18" s="142">
        <f>SUM('CO2'!AH18,'CH4'!AH18,N2O!AH18,'F-Gase'!AH18)</f>
        <v>17703.99347468312</v>
      </c>
      <c r="AI18" s="90">
        <f>SUM('CO2'!AI18,'CH4'!AI18,N2O!AI18,'F-Gase'!AI18)</f>
        <v>15656.331227016732</v>
      </c>
      <c r="AJ18" s="166">
        <f>SUM('CO2'!AJ18,'CH4'!AJ18,N2O!AJ18,'F-Gase'!AJ18)</f>
        <v>15389.54431887598</v>
      </c>
      <c r="AK18" s="166">
        <f>SUM('CO2'!AK18,'CH4'!AK18,N2O!AK18,'F-Gase'!AK18)</f>
        <v>17067.213388259679</v>
      </c>
      <c r="AL18" s="166">
        <f>SUM('CO2'!AL18,'CH4'!AL18,N2O!AL18,'F-Gase'!AL18)</f>
        <v>15596.069622732201</v>
      </c>
    </row>
    <row r="19" spans="2:39" ht="18.75" customHeight="1">
      <c r="B19" s="18" t="s">
        <v>77</v>
      </c>
      <c r="C19" s="28">
        <f>SUM('CO2'!C19,'CH4'!C19,N2O!C19,'F-Gase'!C19)</f>
        <v>9495.4837136274982</v>
      </c>
      <c r="D19" s="28">
        <f>SUM('CO2'!D19,'CH4'!D19,N2O!D19,'F-Gase'!D19)</f>
        <v>9713.6549360023619</v>
      </c>
      <c r="E19" s="28">
        <f>SUM('CO2'!E19,'CH4'!E19,N2O!E19,'F-Gase'!E19)</f>
        <v>10293.546715934113</v>
      </c>
      <c r="F19" s="28">
        <f>SUM('CO2'!F19,'CH4'!F19,N2O!F19,'F-Gase'!F19)</f>
        <v>13017.6083005254</v>
      </c>
      <c r="G19" s="28">
        <f>SUM('CO2'!G19,'CH4'!G19,N2O!G19,'F-Gase'!G19)</f>
        <v>13275.650019696517</v>
      </c>
      <c r="H19" s="28">
        <f>SUM('CO2'!H19,'CH4'!H19,N2O!H19,'F-Gase'!H19)</f>
        <v>13528.065911358466</v>
      </c>
      <c r="I19" s="28">
        <f>SUM('CO2'!I19,'CH4'!I19,N2O!I19,'F-Gase'!I19)</f>
        <v>13962.490366259281</v>
      </c>
      <c r="J19" s="28">
        <f>SUM('CO2'!J19,'CH4'!J19,N2O!J19,'F-Gase'!J19)</f>
        <v>14702.311656623824</v>
      </c>
      <c r="K19" s="28">
        <f>SUM('CO2'!K19,'CH4'!K19,N2O!K19,'F-Gase'!K19)</f>
        <v>15179.418118323056</v>
      </c>
      <c r="L19" s="28">
        <f>SUM('CO2'!L19,'CH4'!L19,N2O!L19,'F-Gase'!L19)</f>
        <v>13868.924676303646</v>
      </c>
      <c r="M19" s="28">
        <f>SUM('CO2'!M19,'CH4'!M19,N2O!M19,'F-Gase'!M19)</f>
        <v>13922.772869079516</v>
      </c>
      <c r="N19" s="28">
        <f>SUM('CO2'!N19,'CH4'!N19,N2O!N19,'F-Gase'!N19)</f>
        <v>14442.381812145541</v>
      </c>
      <c r="O19" s="28">
        <f>SUM('CO2'!O19,'CH4'!O19,N2O!O19,'F-Gase'!O19)</f>
        <v>14159.275593334713</v>
      </c>
      <c r="P19" s="28">
        <f>SUM('CO2'!P19,'CH4'!P19,N2O!P19,'F-Gase'!P19)</f>
        <v>14171.402429635109</v>
      </c>
      <c r="Q19" s="28">
        <f>SUM('CO2'!Q19,'CH4'!Q19,N2O!Q19,'F-Gase'!Q19)</f>
        <v>14510.181284455546</v>
      </c>
      <c r="R19" s="28">
        <f>SUM('CO2'!R19,'CH4'!R19,N2O!R19,'F-Gase'!R19)</f>
        <v>14504.541690440177</v>
      </c>
      <c r="S19" s="28">
        <f>SUM('CO2'!S19,'CH4'!S19,N2O!S19,'F-Gase'!S19)</f>
        <v>14967.788328287526</v>
      </c>
      <c r="T19" s="28">
        <f>SUM('CO2'!T19,'CH4'!T19,N2O!T19,'F-Gase'!T19)</f>
        <v>15455.693175627639</v>
      </c>
      <c r="U19" s="28">
        <f>SUM('CO2'!U19,'CH4'!U19,N2O!U19,'F-Gase'!U19)</f>
        <v>15231.49402313539</v>
      </c>
      <c r="V19" s="28">
        <f>SUM('CO2'!V19,'CH4'!V19,N2O!V19,'F-Gase'!V19)</f>
        <v>15332.791836216777</v>
      </c>
      <c r="W19" s="28">
        <f>SUM('CO2'!W19,'CH4'!W19,N2O!W19,'F-Gase'!W19)</f>
        <v>15889.926215838734</v>
      </c>
      <c r="X19" s="28">
        <f>SUM('CO2'!X19,'CH4'!X19,N2O!X19,'F-Gase'!X19)</f>
        <v>16172.200294455233</v>
      </c>
      <c r="Y19" s="28">
        <f>SUM('CO2'!Y19,'CH4'!Y19,N2O!Y19,'F-Gase'!Y19)</f>
        <v>16399.216759499759</v>
      </c>
      <c r="Z19" s="28">
        <f>SUM('CO2'!Z19,'CH4'!Z19,N2O!Z19,'F-Gase'!Z19)</f>
        <v>16379.391457921003</v>
      </c>
      <c r="AA19" s="28">
        <f>SUM('CO2'!AA19,'CH4'!AA19,N2O!AA19,'F-Gase'!AA19)</f>
        <v>16418.484098192868</v>
      </c>
      <c r="AB19" s="28">
        <f>SUM('CO2'!AB19,'CH4'!AB19,N2O!AB19,'F-Gase'!AB19)</f>
        <v>16766.402379495805</v>
      </c>
      <c r="AC19" s="28">
        <f>SUM('CO2'!AC19,'CH4'!AC19,N2O!AC19,'F-Gase'!AC19)</f>
        <v>16739.432779386876</v>
      </c>
      <c r="AD19" s="28">
        <f>SUM('CO2'!AD19,'CH4'!AD19,N2O!AD19,'F-Gase'!AD19)</f>
        <v>16651.708012122523</v>
      </c>
      <c r="AE19" s="28">
        <f>SUM('CO2'!AE19,'CH4'!AE19,N2O!AE19,'F-Gase'!AE19)</f>
        <v>15652.799204296876</v>
      </c>
      <c r="AF19" s="28">
        <f>SUM('CO2'!AF19,'CH4'!AF19,N2O!AF19,'F-Gase'!AF19)</f>
        <v>14827.247528579561</v>
      </c>
      <c r="AG19" s="167">
        <f>SUM('CO2'!AG19,'CH4'!AG19,N2O!AG19,'F-Gase'!AG19)</f>
        <v>13260.190218309312</v>
      </c>
      <c r="AH19" s="143">
        <f>SUM('CO2'!AH19,'CH4'!AH19,N2O!AH19,'F-Gase'!AH19)</f>
        <v>12767.532614644379</v>
      </c>
      <c r="AI19" s="28">
        <f>SUM('CO2'!AI19,'CH4'!AI19,N2O!AI19,'F-Gase'!AI19)</f>
        <v>11904.678897048747</v>
      </c>
      <c r="AJ19" s="167">
        <f>SUM('CO2'!AJ19,'CH4'!AJ19,N2O!AJ19,'F-Gase'!AJ19)</f>
        <v>10954.35871237221</v>
      </c>
      <c r="AK19" s="167">
        <f>SUM('CO2'!AK19,'CH4'!AK19,N2O!AK19,'F-Gase'!AK19)</f>
        <v>10707.478750433904</v>
      </c>
      <c r="AL19" s="167">
        <f>SUM('CO2'!AL19,'CH4'!AL19,N2O!AL19,'F-Gase'!AL19)</f>
        <v>10466.324607526254</v>
      </c>
    </row>
    <row r="20" spans="2:39" s="149" customFormat="1" ht="18.75" customHeight="1">
      <c r="B20" s="8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</row>
    <row r="21" spans="2:39" s="10" customFormat="1" ht="18.75" customHeight="1">
      <c r="B21" s="151" t="s">
        <v>10</v>
      </c>
      <c r="C21" s="165">
        <f>SUMIF(C22:C24,"&lt;1E+307")</f>
        <v>210027.18395860447</v>
      </c>
      <c r="D21" s="165">
        <f t="shared" ref="D21:AD21" si="11">SUMIF(D22:D24,"&lt;1E+307")</f>
        <v>208432.18191371491</v>
      </c>
      <c r="E21" s="165">
        <f t="shared" si="11"/>
        <v>190277.45833234602</v>
      </c>
      <c r="F21" s="165">
        <f t="shared" si="11"/>
        <v>197005.98901780017</v>
      </c>
      <c r="G21" s="165">
        <f t="shared" si="11"/>
        <v>186224.55899557067</v>
      </c>
      <c r="H21" s="165">
        <f t="shared" si="11"/>
        <v>187711.0381336172</v>
      </c>
      <c r="I21" s="165">
        <f t="shared" si="11"/>
        <v>210884.61571151708</v>
      </c>
      <c r="J21" s="165">
        <f t="shared" si="11"/>
        <v>197654.22637239174</v>
      </c>
      <c r="K21" s="165">
        <f t="shared" si="11"/>
        <v>189510.66137449766</v>
      </c>
      <c r="L21" s="165">
        <f t="shared" si="11"/>
        <v>172831.28623370748</v>
      </c>
      <c r="M21" s="165">
        <f t="shared" si="11"/>
        <v>166789.2327464798</v>
      </c>
      <c r="N21" s="165">
        <f t="shared" si="11"/>
        <v>187079.21984220835</v>
      </c>
      <c r="O21" s="165">
        <f t="shared" si="11"/>
        <v>174080.60753960372</v>
      </c>
      <c r="P21" s="165">
        <f t="shared" si="11"/>
        <v>164266.6269728427</v>
      </c>
      <c r="Q21" s="165">
        <f t="shared" si="11"/>
        <v>152473.15960192765</v>
      </c>
      <c r="R21" s="165">
        <f t="shared" si="11"/>
        <v>151285.73283419717</v>
      </c>
      <c r="S21" s="165">
        <f t="shared" si="11"/>
        <v>160695.3825205958</v>
      </c>
      <c r="T21" s="165">
        <f t="shared" si="11"/>
        <v>122282.72021639605</v>
      </c>
      <c r="U21" s="165">
        <f t="shared" si="11"/>
        <v>147343.3577831774</v>
      </c>
      <c r="V21" s="165">
        <f t="shared" si="11"/>
        <v>137066.61941838666</v>
      </c>
      <c r="W21" s="165">
        <f t="shared" si="11"/>
        <v>145034.37013705776</v>
      </c>
      <c r="X21" s="165">
        <f t="shared" si="11"/>
        <v>124858.41015963606</v>
      </c>
      <c r="Y21" s="165">
        <f t="shared" si="11"/>
        <v>129590.6503449369</v>
      </c>
      <c r="Z21" s="165">
        <f t="shared" si="11"/>
        <v>140240.88491850218</v>
      </c>
      <c r="AA21" s="165">
        <f t="shared" si="11"/>
        <v>118636.45805072534</v>
      </c>
      <c r="AB21" s="165">
        <f t="shared" si="11"/>
        <v>124783.56999675544</v>
      </c>
      <c r="AC21" s="165">
        <f t="shared" si="11"/>
        <v>124161.75413175649</v>
      </c>
      <c r="AD21" s="165">
        <f t="shared" si="11"/>
        <v>122982.35301164565</v>
      </c>
      <c r="AE21" s="165">
        <f t="shared" ref="AE21:AF21" si="12">SUMIF(AE22:AE24,"&lt;1E+307")</f>
        <v>117685.87978898628</v>
      </c>
      <c r="AF21" s="165">
        <f t="shared" si="12"/>
        <v>123482.08895026859</v>
      </c>
      <c r="AG21" s="165">
        <f t="shared" ref="AG21" si="13">SUMIF(AG22:AG24,"&lt;1E+307")</f>
        <v>121561.94533243483</v>
      </c>
      <c r="AH21" s="165">
        <f t="shared" ref="AH21" si="14">SUMIF(AH22:AH24,"&lt;1E+307")</f>
        <v>117958.20040067063</v>
      </c>
      <c r="AI21" s="165">
        <f t="shared" ref="AI21" si="15">SUMIF(AI22:AI24,"&lt;1E+307")</f>
        <v>111312.60961258033</v>
      </c>
      <c r="AJ21" s="165">
        <f t="shared" ref="AJ21:AL21" si="16">SUMIF(AJ22:AJ24,"&lt;1E+307")</f>
        <v>102358.8389695604</v>
      </c>
      <c r="AK21" s="165">
        <f t="shared" si="16"/>
        <v>99998.028143157135</v>
      </c>
      <c r="AL21" s="165">
        <f t="shared" si="16"/>
        <v>103365.86664073804</v>
      </c>
    </row>
    <row r="22" spans="2:39" s="149" customFormat="1" ht="18.75" customHeight="1">
      <c r="B22" s="89" t="s">
        <v>69</v>
      </c>
      <c r="C22" s="166">
        <f>SUM('CO2'!C22,'CH4'!C22,N2O!C22)</f>
        <v>65793.135435961158</v>
      </c>
      <c r="D22" s="166">
        <f>SUM('CO2'!D22,'CH4'!D22,N2O!D22)</f>
        <v>65895.914511204566</v>
      </c>
      <c r="E22" s="166">
        <f>SUM('CO2'!E22,'CH4'!E22,N2O!E22)</f>
        <v>58453.858559376138</v>
      </c>
      <c r="F22" s="166">
        <f>SUM('CO2'!F22,'CH4'!F22,N2O!F22)</f>
        <v>56059.059714848452</v>
      </c>
      <c r="G22" s="166">
        <f>SUM('CO2'!G22,'CH4'!G22,N2O!G22)</f>
        <v>51404.393469851821</v>
      </c>
      <c r="H22" s="166">
        <f>SUM('CO2'!H22,'CH4'!H22,N2O!H22)</f>
        <v>53329.390770174286</v>
      </c>
      <c r="I22" s="166">
        <f>SUM('CO2'!I22,'CH4'!I22,N2O!I22)</f>
        <v>64035.629577524247</v>
      </c>
      <c r="J22" s="166">
        <f>SUM('CO2'!J22,'CH4'!J22,N2O!J22)</f>
        <v>54983.49417948741</v>
      </c>
      <c r="K22" s="166">
        <f>SUM('CO2'!K22,'CH4'!K22,N2O!K22)</f>
        <v>53302.980361405069</v>
      </c>
      <c r="L22" s="166">
        <f>SUM('CO2'!L22,'CH4'!L22,N2O!L22)</f>
        <v>49213.781078286069</v>
      </c>
      <c r="M22" s="166">
        <f>SUM('CO2'!M22,'CH4'!M22,N2O!M22)</f>
        <v>45495.261313723742</v>
      </c>
      <c r="N22" s="166">
        <f>SUM('CO2'!N22,'CH4'!N22,N2O!N22)</f>
        <v>52720.290292394529</v>
      </c>
      <c r="O22" s="166">
        <f>SUM('CO2'!O22,'CH4'!O22,N2O!O22)</f>
        <v>49789.184145368155</v>
      </c>
      <c r="P22" s="166">
        <f>SUM('CO2'!P22,'CH4'!P22,N2O!P22)</f>
        <v>40288.110651177223</v>
      </c>
      <c r="Q22" s="166">
        <f>SUM('CO2'!Q22,'CH4'!Q22,N2O!Q22)</f>
        <v>36493.212731884923</v>
      </c>
      <c r="R22" s="166">
        <f>SUM('CO2'!R22,'CH4'!R22,N2O!R22)</f>
        <v>37652.055070897179</v>
      </c>
      <c r="S22" s="166">
        <f>SUM('CO2'!S22,'CH4'!S22,N2O!S22)</f>
        <v>45326.86589017394</v>
      </c>
      <c r="T22" s="166">
        <f>SUM('CO2'!T22,'CH4'!T22,N2O!T22)</f>
        <v>33611.903151084072</v>
      </c>
      <c r="U22" s="166">
        <f>SUM('CO2'!U22,'CH4'!U22,N2O!U22)</f>
        <v>38520.501507627443</v>
      </c>
      <c r="V22" s="166">
        <f>SUM('CO2'!V22,'CH4'!V22,N2O!V22)</f>
        <v>35914.121432701853</v>
      </c>
      <c r="W22" s="166">
        <f>SUM('CO2'!W22,'CH4'!W22,N2O!W22)</f>
        <v>37139.761894207375</v>
      </c>
      <c r="X22" s="166">
        <f>SUM('CO2'!X22,'CH4'!X22,N2O!X22)</f>
        <v>34529.421480464654</v>
      </c>
      <c r="Y22" s="166">
        <f>SUM('CO2'!Y22,'CH4'!Y22,N2O!Y22)</f>
        <v>33293.120274177621</v>
      </c>
      <c r="Z22" s="166">
        <f>SUM('CO2'!Z22,'CH4'!Z22,N2O!Z22)</f>
        <v>37948.911297798702</v>
      </c>
      <c r="AA22" s="166">
        <f>SUM('CO2'!AA22,'CH4'!AA22,N2O!AA22)</f>
        <v>33323.8521251333</v>
      </c>
      <c r="AB22" s="166">
        <f>SUM('CO2'!AB22,'CH4'!AB22,N2O!AB22)</f>
        <v>34988.081845591565</v>
      </c>
      <c r="AC22" s="166">
        <f>SUM('CO2'!AC22,'CH4'!AC22,N2O!AC22)</f>
        <v>31424.741398015089</v>
      </c>
      <c r="AD22" s="166">
        <f>SUM('CO2'!AD22,'CH4'!AD22,N2O!AD22)</f>
        <v>32125.182616270584</v>
      </c>
      <c r="AE22" s="166">
        <f>SUM('CO2'!AE22,'CH4'!AE22,N2O!AE22)</f>
        <v>27189.622376377531</v>
      </c>
      <c r="AF22" s="166">
        <f>SUM('CO2'!AF22,'CH4'!AF22,N2O!AF22)</f>
        <v>26057.444846621038</v>
      </c>
      <c r="AG22" s="166">
        <f>SUM('CO2'!AG22,'CH4'!AG22,N2O!AG22)</f>
        <v>24965.118674820325</v>
      </c>
      <c r="AH22" s="166">
        <f>SUM('CO2'!AH22,'CH4'!AH22,N2O!AH22)</f>
        <v>24907.048872029478</v>
      </c>
      <c r="AI22" s="166">
        <f>SUM('CO2'!AI22,'CH4'!AI22,N2O!AI22)</f>
        <v>25192.629078926235</v>
      </c>
      <c r="AJ22" s="166">
        <f>SUM('CO2'!AJ22,'CH4'!AJ22,N2O!AJ22)</f>
        <v>22126.450927921614</v>
      </c>
      <c r="AK22" s="166">
        <f>SUM('CO2'!AK22,'CH4'!AK22,N2O!AK22)</f>
        <v>21493.967062840962</v>
      </c>
      <c r="AL22" s="166">
        <f>SUM('CO2'!AL22,'CH4'!AL22,N2O!AL22)</f>
        <v>23090.605887872007</v>
      </c>
    </row>
    <row r="23" spans="2:39" s="149" customFormat="1" ht="18.75" customHeight="1">
      <c r="B23" s="18" t="s">
        <v>17</v>
      </c>
      <c r="C23" s="167">
        <f>SUM('CO2'!C23,'CH4'!C23,N2O!C23)</f>
        <v>132102.31659297674</v>
      </c>
      <c r="D23" s="167">
        <f>SUM('CO2'!D23,'CH4'!D23,N2O!D23)</f>
        <v>133884.63547907854</v>
      </c>
      <c r="E23" s="167">
        <f>SUM('CO2'!E23,'CH4'!E23,N2O!E23)</f>
        <v>125258.60437400419</v>
      </c>
      <c r="F23" s="167">
        <f>SUM('CO2'!F23,'CH4'!F23,N2O!F23)</f>
        <v>135694.97544861652</v>
      </c>
      <c r="G23" s="167">
        <f>SUM('CO2'!G23,'CH4'!G23,N2O!G23)</f>
        <v>129988.95028585919</v>
      </c>
      <c r="H23" s="167">
        <f>SUM('CO2'!H23,'CH4'!H23,N2O!H23)</f>
        <v>130359.04194194582</v>
      </c>
      <c r="I23" s="167">
        <f>SUM('CO2'!I23,'CH4'!I23,N2O!I23)</f>
        <v>143702.71557281783</v>
      </c>
      <c r="J23" s="167">
        <f>SUM('CO2'!J23,'CH4'!J23,N2O!J23)</f>
        <v>139632.17382184061</v>
      </c>
      <c r="K23" s="167">
        <f>SUM('CO2'!K23,'CH4'!K23,N2O!K23)</f>
        <v>133159.00485494701</v>
      </c>
      <c r="L23" s="167">
        <f>SUM('CO2'!L23,'CH4'!L23,N2O!L23)</f>
        <v>121015.31896285158</v>
      </c>
      <c r="M23" s="167">
        <f>SUM('CO2'!M23,'CH4'!M23,N2O!M23)</f>
        <v>118962.41291467682</v>
      </c>
      <c r="N23" s="167">
        <f>SUM('CO2'!N23,'CH4'!N23,N2O!N23)</f>
        <v>132448.42172173367</v>
      </c>
      <c r="O23" s="167">
        <f>SUM('CO2'!O23,'CH4'!O23,N2O!O23)</f>
        <v>122344.41826841711</v>
      </c>
      <c r="P23" s="167">
        <f>SUM('CO2'!P23,'CH4'!P23,N2O!P23)</f>
        <v>121954.01175976364</v>
      </c>
      <c r="Q23" s="167">
        <f>SUM('CO2'!Q23,'CH4'!Q23,N2O!Q23)</f>
        <v>114242.67239456411</v>
      </c>
      <c r="R23" s="167">
        <f>SUM('CO2'!R23,'CH4'!R23,N2O!R23)</f>
        <v>111863.78737468937</v>
      </c>
      <c r="S23" s="167">
        <f>SUM('CO2'!S23,'CH4'!S23,N2O!S23)</f>
        <v>113757.51436898552</v>
      </c>
      <c r="T23" s="167">
        <f>SUM('CO2'!T23,'CH4'!T23,N2O!T23)</f>
        <v>87334.846813127413</v>
      </c>
      <c r="U23" s="167">
        <f>SUM('CO2'!U23,'CH4'!U23,N2O!U23)</f>
        <v>107463.11956673804</v>
      </c>
      <c r="V23" s="167">
        <f>SUM('CO2'!V23,'CH4'!V23,N2O!V23)</f>
        <v>99766.962846926937</v>
      </c>
      <c r="W23" s="167">
        <f>SUM('CO2'!W23,'CH4'!W23,N2O!W23)</f>
        <v>106551.34488116026</v>
      </c>
      <c r="X23" s="167">
        <f>SUM('CO2'!X23,'CH4'!X23,N2O!X23)</f>
        <v>89086.723920058954</v>
      </c>
      <c r="Y23" s="167">
        <f>SUM('CO2'!Y23,'CH4'!Y23,N2O!Y23)</f>
        <v>95266.592560024044</v>
      </c>
      <c r="Z23" s="167">
        <f>SUM('CO2'!Z23,'CH4'!Z23,N2O!Z23)</f>
        <v>101221.59785128412</v>
      </c>
      <c r="AA23" s="167">
        <f>SUM('CO2'!AA23,'CH4'!AA23,N2O!AA23)</f>
        <v>84309.456213481695</v>
      </c>
      <c r="AB23" s="167">
        <f>SUM('CO2'!AB23,'CH4'!AB23,N2O!AB23)</f>
        <v>88794.371476841523</v>
      </c>
      <c r="AC23" s="167">
        <f>SUM('CO2'!AC23,'CH4'!AC23,N2O!AC23)</f>
        <v>91699.303404450446</v>
      </c>
      <c r="AD23" s="167">
        <f>SUM('CO2'!AD23,'CH4'!AD23,N2O!AD23)</f>
        <v>90000.755562839709</v>
      </c>
      <c r="AE23" s="167">
        <f>SUM('CO2'!AE23,'CH4'!AE23,N2O!AE23)</f>
        <v>89732.195867403381</v>
      </c>
      <c r="AF23" s="167">
        <f>SUM('CO2'!AF23,'CH4'!AF23,N2O!AF23)</f>
        <v>96502.859509140355</v>
      </c>
      <c r="AG23" s="167">
        <f>SUM('CO2'!AG23,'CH4'!AG23,N2O!AG23)</f>
        <v>95804.566072038811</v>
      </c>
      <c r="AH23" s="167">
        <f>SUM('CO2'!AH23,'CH4'!AH23,N2O!AH23)</f>
        <v>92064.965266348954</v>
      </c>
      <c r="AI23" s="167">
        <f>SUM('CO2'!AI23,'CH4'!AI23,N2O!AI23)</f>
        <v>85255.377412158472</v>
      </c>
      <c r="AJ23" s="167">
        <f>SUM('CO2'!AJ23,'CH4'!AJ23,N2O!AJ23)</f>
        <v>79370.224997403202</v>
      </c>
      <c r="AK23" s="167">
        <f>SUM('CO2'!AK23,'CH4'!AK23,N2O!AK23)</f>
        <v>77903.98189511789</v>
      </c>
      <c r="AL23" s="167">
        <f>SUM('CO2'!AL23,'CH4'!AL23,N2O!AL23)</f>
        <v>79606.964964436207</v>
      </c>
    </row>
    <row r="24" spans="2:39" s="149" customFormat="1" ht="18.75" customHeight="1">
      <c r="B24" s="89" t="s">
        <v>70</v>
      </c>
      <c r="C24" s="166">
        <f>SUM('CO2'!C24,'CH4'!C24,N2O!C24)</f>
        <v>12131.731929666581</v>
      </c>
      <c r="D24" s="166">
        <f>SUM('CO2'!D24,'CH4'!D24,N2O!D24)</f>
        <v>8651.6319234318271</v>
      </c>
      <c r="E24" s="166">
        <f>SUM('CO2'!E24,'CH4'!E24,N2O!E24)</f>
        <v>6564.9953989656824</v>
      </c>
      <c r="F24" s="166">
        <f>SUM('CO2'!F24,'CH4'!F24,N2O!F24)</f>
        <v>5251.9538543352028</v>
      </c>
      <c r="G24" s="166">
        <f>SUM('CO2'!G24,'CH4'!G24,N2O!G24)</f>
        <v>4831.2152398596445</v>
      </c>
      <c r="H24" s="166">
        <f>SUM('CO2'!H24,'CH4'!H24,N2O!H24)</f>
        <v>4022.6054214970773</v>
      </c>
      <c r="I24" s="166">
        <f>SUM('CO2'!I24,'CH4'!I24,N2O!I24)</f>
        <v>3146.2705611749916</v>
      </c>
      <c r="J24" s="166">
        <f>SUM('CO2'!J24,'CH4'!J24,N2O!J24)</f>
        <v>3038.5583710637438</v>
      </c>
      <c r="K24" s="166">
        <f>SUM('CO2'!K24,'CH4'!K24,N2O!K24)</f>
        <v>3048.676158145583</v>
      </c>
      <c r="L24" s="166">
        <f>SUM('CO2'!L24,'CH4'!L24,N2O!L24)</f>
        <v>2602.1861925698213</v>
      </c>
      <c r="M24" s="166">
        <f>SUM('CO2'!M24,'CH4'!M24,N2O!M24)</f>
        <v>2331.5585180792273</v>
      </c>
      <c r="N24" s="166">
        <f>SUM('CO2'!N24,'CH4'!N24,N2O!N24)</f>
        <v>1910.5078280801486</v>
      </c>
      <c r="O24" s="166">
        <f>SUM('CO2'!O24,'CH4'!O24,N2O!O24)</f>
        <v>1947.0051258184583</v>
      </c>
      <c r="P24" s="166">
        <f>SUM('CO2'!P24,'CH4'!P24,N2O!P24)</f>
        <v>2024.5045619018199</v>
      </c>
      <c r="Q24" s="166">
        <f>SUM('CO2'!Q24,'CH4'!Q24,N2O!Q24)</f>
        <v>1737.2744754785967</v>
      </c>
      <c r="R24" s="166">
        <f>SUM('CO2'!R24,'CH4'!R24,N2O!R24)</f>
        <v>1769.89038861063</v>
      </c>
      <c r="S24" s="166">
        <f>SUM('CO2'!S24,'CH4'!S24,N2O!S24)</f>
        <v>1611.0022614363536</v>
      </c>
      <c r="T24" s="166">
        <f>SUM('CO2'!T24,'CH4'!T24,N2O!T24)</f>
        <v>1335.9702521845641</v>
      </c>
      <c r="U24" s="166">
        <f>SUM('CO2'!U24,'CH4'!U24,N2O!U24)</f>
        <v>1359.7367088119304</v>
      </c>
      <c r="V24" s="166">
        <f>SUM('CO2'!V24,'CH4'!V24,N2O!V24)</f>
        <v>1385.5351387578694</v>
      </c>
      <c r="W24" s="166">
        <f>SUM('CO2'!W24,'CH4'!W24,N2O!W24)</f>
        <v>1343.2633616901294</v>
      </c>
      <c r="X24" s="166">
        <f>SUM('CO2'!X24,'CH4'!X24,N2O!X24)</f>
        <v>1242.2647591124414</v>
      </c>
      <c r="Y24" s="166">
        <f>SUM('CO2'!Y24,'CH4'!Y24,N2O!Y24)</f>
        <v>1030.9375107352325</v>
      </c>
      <c r="Z24" s="166">
        <f>SUM('CO2'!Z24,'CH4'!Z24,N2O!Z24)</f>
        <v>1070.3757694193712</v>
      </c>
      <c r="AA24" s="166">
        <f>SUM('CO2'!AA24,'CH4'!AA24,N2O!AA24)</f>
        <v>1003.1497121103407</v>
      </c>
      <c r="AB24" s="166">
        <f>SUM('CO2'!AB24,'CH4'!AB24,N2O!AB24)</f>
        <v>1001.1166743223623</v>
      </c>
      <c r="AC24" s="166">
        <f>SUM('CO2'!AC24,'CH4'!AC24,N2O!AC24)</f>
        <v>1037.7093292909556</v>
      </c>
      <c r="AD24" s="166">
        <f>SUM('CO2'!AD24,'CH4'!AD24,N2O!AD24)</f>
        <v>856.41483253536637</v>
      </c>
      <c r="AE24" s="166">
        <f>SUM('CO2'!AE24,'CH4'!AE24,N2O!AE24)</f>
        <v>764.06154520536506</v>
      </c>
      <c r="AF24" s="166">
        <f>SUM('CO2'!AF24,'CH4'!AF24,N2O!AF24)</f>
        <v>921.78459450719856</v>
      </c>
      <c r="AG24" s="166">
        <f>SUM('CO2'!AG24,'CH4'!AG24,N2O!AG24)</f>
        <v>792.26058557570343</v>
      </c>
      <c r="AH24" s="166">
        <f>SUM('CO2'!AH24,'CH4'!AH24,N2O!AH24)</f>
        <v>986.18626229218739</v>
      </c>
      <c r="AI24" s="166">
        <f>SUM('CO2'!AI24,'CH4'!AI24,N2O!AI24)</f>
        <v>864.60312149562992</v>
      </c>
      <c r="AJ24" s="166">
        <f>SUM('CO2'!AJ24,'CH4'!AJ24,N2O!AJ24)</f>
        <v>862.16304423558472</v>
      </c>
      <c r="AK24" s="166">
        <f>SUM('CO2'!AK24,'CH4'!AK24,N2O!AK24)</f>
        <v>600.07918519828422</v>
      </c>
      <c r="AL24" s="166">
        <f>SUM('CO2'!AL24,'CH4'!AL24,N2O!AL24)</f>
        <v>668.2957884298246</v>
      </c>
    </row>
    <row r="25" spans="2:39" s="149" customFormat="1" ht="18.75" customHeight="1">
      <c r="B25" s="1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</row>
    <row r="26" spans="2:39" s="10" customFormat="1" ht="18.75" customHeight="1">
      <c r="B26" s="152" t="s">
        <v>14</v>
      </c>
      <c r="C26" s="164">
        <f>SUMIF(C27:C30,"&lt;1E+307")</f>
        <v>163355.36616760315</v>
      </c>
      <c r="D26" s="164">
        <f t="shared" ref="D26:AD26" si="17">SUMIF(D27:D30,"&lt;1E+307")</f>
        <v>166303.23762202708</v>
      </c>
      <c r="E26" s="164">
        <f t="shared" si="17"/>
        <v>172167.92788304127</v>
      </c>
      <c r="F26" s="164">
        <f t="shared" si="17"/>
        <v>176492.86454758715</v>
      </c>
      <c r="G26" s="164">
        <f t="shared" si="17"/>
        <v>172463.21860050695</v>
      </c>
      <c r="H26" s="164">
        <f t="shared" si="17"/>
        <v>176122.48168420375</v>
      </c>
      <c r="I26" s="164">
        <f t="shared" si="17"/>
        <v>175706.38359170008</v>
      </c>
      <c r="J26" s="164">
        <f t="shared" si="17"/>
        <v>176120.93158889891</v>
      </c>
      <c r="K26" s="164">
        <f t="shared" si="17"/>
        <v>179396.53596171187</v>
      </c>
      <c r="L26" s="164">
        <f t="shared" si="17"/>
        <v>184529.66219477804</v>
      </c>
      <c r="M26" s="164">
        <f t="shared" si="17"/>
        <v>180586.38520062697</v>
      </c>
      <c r="N26" s="164">
        <f t="shared" si="17"/>
        <v>176693.77167274567</v>
      </c>
      <c r="O26" s="164">
        <f t="shared" si="17"/>
        <v>174183.31703402408</v>
      </c>
      <c r="P26" s="164">
        <f t="shared" si="17"/>
        <v>167441.53572815895</v>
      </c>
      <c r="Q26" s="164">
        <f t="shared" si="17"/>
        <v>167350.69391533409</v>
      </c>
      <c r="R26" s="164">
        <f t="shared" si="17"/>
        <v>160700.50537524637</v>
      </c>
      <c r="S26" s="164">
        <f t="shared" si="17"/>
        <v>161881.45271585885</v>
      </c>
      <c r="T26" s="164">
        <f t="shared" si="17"/>
        <v>152072.62110086659</v>
      </c>
      <c r="U26" s="164">
        <f t="shared" si="17"/>
        <v>151652.2198126837</v>
      </c>
      <c r="V26" s="164">
        <f t="shared" si="17"/>
        <v>151255.92402333036</v>
      </c>
      <c r="W26" s="164">
        <f t="shared" si="17"/>
        <v>151910.64588226838</v>
      </c>
      <c r="X26" s="164">
        <f t="shared" si="17"/>
        <v>153560.95097371429</v>
      </c>
      <c r="Y26" s="164">
        <f t="shared" si="17"/>
        <v>152086.18806966662</v>
      </c>
      <c r="Z26" s="164">
        <f t="shared" si="17"/>
        <v>156033.11623669646</v>
      </c>
      <c r="AA26" s="164">
        <f t="shared" si="17"/>
        <v>157637.57298831275</v>
      </c>
      <c r="AB26" s="164">
        <f t="shared" si="17"/>
        <v>161090.44280870425</v>
      </c>
      <c r="AC26" s="164">
        <f t="shared" si="17"/>
        <v>163892.39289932049</v>
      </c>
      <c r="AD26" s="164">
        <f t="shared" si="17"/>
        <v>167279.37411929673</v>
      </c>
      <c r="AE26" s="164">
        <f t="shared" ref="AE26:AF26" si="18">SUMIF(AE27:AE30,"&lt;1E+307")</f>
        <v>162637.34410803055</v>
      </c>
      <c r="AF26" s="164">
        <f t="shared" si="18"/>
        <v>163622.52220400539</v>
      </c>
      <c r="AG26" s="164">
        <f t="shared" ref="AG26" si="19">SUMIF(AG27:AG30,"&lt;1E+307")</f>
        <v>145895.15044332205</v>
      </c>
      <c r="AH26" s="164">
        <f t="shared" ref="AH26" si="20">SUMIF(AH27:AH30,"&lt;1E+307")</f>
        <v>146812.28818570357</v>
      </c>
      <c r="AI26" s="164">
        <f t="shared" ref="AI26" si="21">SUMIF(AI27:AI30,"&lt;1E+307")</f>
        <v>148070.28751224166</v>
      </c>
      <c r="AJ26" s="164">
        <f t="shared" ref="AJ26:AL26" si="22">SUMIF(AJ27:AJ30,"&lt;1E+307")</f>
        <v>144478.72767333922</v>
      </c>
      <c r="AK26" s="164">
        <f t="shared" si="22"/>
        <v>144182.32724657934</v>
      </c>
      <c r="AL26" s="164">
        <f t="shared" si="22"/>
        <v>146305.15581176433</v>
      </c>
      <c r="AM26" s="222"/>
    </row>
    <row r="27" spans="2:39" s="149" customFormat="1" ht="18.75" customHeight="1">
      <c r="B27" s="18" t="s">
        <v>4</v>
      </c>
      <c r="C27" s="167">
        <f>SUM('CO2'!C27,'CH4'!C27,N2O!C27)</f>
        <v>2334.6458095547823</v>
      </c>
      <c r="D27" s="167">
        <f>SUM('CO2'!D27,'CH4'!D27,N2O!D27)</f>
        <v>2251.0227529915969</v>
      </c>
      <c r="E27" s="167">
        <f>SUM('CO2'!E27,'CH4'!E27,N2O!E27)</f>
        <v>2287.7074702453697</v>
      </c>
      <c r="F27" s="167">
        <f>SUM('CO2'!F27,'CH4'!F27,N2O!F27)</f>
        <v>2200.5114838881082</v>
      </c>
      <c r="G27" s="167">
        <f>SUM('CO2'!G27,'CH4'!G27,N2O!G27)</f>
        <v>2182.149631150668</v>
      </c>
      <c r="H27" s="167">
        <f>SUM('CO2'!H27,'CH4'!H27,N2O!H27)</f>
        <v>2289.6804032825362</v>
      </c>
      <c r="I27" s="167">
        <f>SUM('CO2'!I27,'CH4'!I27,N2O!I27)</f>
        <v>2204.5296362501331</v>
      </c>
      <c r="J27" s="167">
        <f>SUM('CO2'!J27,'CH4'!J27,N2O!J27)</f>
        <v>2315.9964398188463</v>
      </c>
      <c r="K27" s="167">
        <f>SUM('CO2'!K27,'CH4'!K27,N2O!K27)</f>
        <v>2327.2260609315003</v>
      </c>
      <c r="L27" s="167">
        <f>SUM('CO2'!L27,'CH4'!L27,N2O!L27)</f>
        <v>2369.5647600722036</v>
      </c>
      <c r="M27" s="167">
        <f>SUM('CO2'!M27,'CH4'!M27,N2O!M27)</f>
        <v>2492.4328577868509</v>
      </c>
      <c r="N27" s="167">
        <f>SUM('CO2'!N27,'CH4'!N27,N2O!N27)</f>
        <v>2408.6115141749788</v>
      </c>
      <c r="O27" s="167">
        <f>SUM('CO2'!O27,'CH4'!O27,N2O!O27)</f>
        <v>2297.5494897850012</v>
      </c>
      <c r="P27" s="167">
        <f>SUM('CO2'!P27,'CH4'!P27,N2O!P27)</f>
        <v>2284.5192847901822</v>
      </c>
      <c r="Q27" s="167">
        <f>SUM('CO2'!Q27,'CH4'!Q27,N2O!Q27)</f>
        <v>2256.0612491434763</v>
      </c>
      <c r="R27" s="167">
        <f>SUM('CO2'!R27,'CH4'!R27,N2O!R27)</f>
        <v>2282.3314946031096</v>
      </c>
      <c r="S27" s="167">
        <f>SUM('CO2'!S27,'CH4'!S27,N2O!S27)</f>
        <v>2336.1156872549154</v>
      </c>
      <c r="T27" s="167">
        <f>SUM('CO2'!T27,'CH4'!T27,N2O!T27)</f>
        <v>2405.7976742390333</v>
      </c>
      <c r="U27" s="167">
        <f>SUM('CO2'!U27,'CH4'!U27,N2O!U27)</f>
        <v>2430.254021543793</v>
      </c>
      <c r="V27" s="167">
        <f>SUM('CO2'!V27,'CH4'!V27,N2O!V27)</f>
        <v>2282.6235047041519</v>
      </c>
      <c r="W27" s="167">
        <f>SUM('CO2'!W27,'CH4'!W27,N2O!W27)</f>
        <v>2270.4605550016886</v>
      </c>
      <c r="X27" s="167">
        <f>SUM('CO2'!X27,'CH4'!X27,N2O!X27)</f>
        <v>2293.0226056708743</v>
      </c>
      <c r="Y27" s="167">
        <f>SUM('CO2'!Y27,'CH4'!Y27,N2O!Y27)</f>
        <v>2179.6913233801783</v>
      </c>
      <c r="Z27" s="167">
        <f>SUM('CO2'!Z27,'CH4'!Z27,N2O!Z27)</f>
        <v>1969.8588303004431</v>
      </c>
      <c r="AA27" s="167">
        <f>SUM('CO2'!AA27,'CH4'!AA27,N2O!AA27)</f>
        <v>1991.7016712387187</v>
      </c>
      <c r="AB27" s="167">
        <f>SUM('CO2'!AB27,'CH4'!AB27,N2O!AB27)</f>
        <v>2078.1810205713373</v>
      </c>
      <c r="AC27" s="167">
        <f>SUM('CO2'!AC27,'CH4'!AC27,N2O!AC27)</f>
        <v>2085.2528005973022</v>
      </c>
      <c r="AD27" s="167">
        <f>SUM('CO2'!AD27,'CH4'!AD27,N2O!AD27)</f>
        <v>2022.2764722346494</v>
      </c>
      <c r="AE27" s="167">
        <f>SUM('CO2'!AE27,'CH4'!AE27,N2O!AE27)</f>
        <v>2014.4854211746581</v>
      </c>
      <c r="AF27" s="167">
        <f>SUM('CO2'!AF27,'CH4'!AF27,N2O!AF27)</f>
        <v>2075.8149970730674</v>
      </c>
      <c r="AG27" s="167">
        <f>SUM('CO2'!AG27,'CH4'!AG27,N2O!AG27)</f>
        <v>930.09604764647645</v>
      </c>
      <c r="AH27" s="167">
        <f>SUM('CO2'!AH27,'CH4'!AH27,N2O!AH27)</f>
        <v>717.97319564854809</v>
      </c>
      <c r="AI27" s="167">
        <f>SUM('CO2'!AI27,'CH4'!AI27,N2O!AI27)</f>
        <v>1042.5291174112103</v>
      </c>
      <c r="AJ27" s="167">
        <f>SUM('CO2'!AJ27,'CH4'!AJ27,N2O!AJ27)</f>
        <v>1093.8152794530899</v>
      </c>
      <c r="AK27" s="167">
        <f>SUM('CO2'!AK27,'CH4'!AK27,N2O!AK27)</f>
        <v>1098.5376850927084</v>
      </c>
      <c r="AL27" s="167">
        <f>SUM('CO2'!AL27,'CH4'!AL27,N2O!AL27)</f>
        <v>1104.7714534200625</v>
      </c>
    </row>
    <row r="28" spans="2:39" s="149" customFormat="1" ht="18.75" customHeight="1">
      <c r="B28" s="89" t="s">
        <v>5</v>
      </c>
      <c r="C28" s="166">
        <f>SUM('CO2'!C28,'CH4'!C28,N2O!C28)</f>
        <v>154826.0026069484</v>
      </c>
      <c r="D28" s="166">
        <f>SUM('CO2'!D28,'CH4'!D28,N2O!D28)</f>
        <v>158316.32468870466</v>
      </c>
      <c r="E28" s="166">
        <f>SUM('CO2'!E28,'CH4'!E28,N2O!E28)</f>
        <v>164135.19623766479</v>
      </c>
      <c r="F28" s="166">
        <f>SUM('CO2'!F28,'CH4'!F28,N2O!F28)</f>
        <v>168575.06089556409</v>
      </c>
      <c r="G28" s="166">
        <f>SUM('CO2'!G28,'CH4'!G28,N2O!G28)</f>
        <v>164810.80257761842</v>
      </c>
      <c r="H28" s="166">
        <f>SUM('CO2'!H28,'CH4'!H28,N2O!H28)</f>
        <v>168900.64679703698</v>
      </c>
      <c r="I28" s="166">
        <f>SUM('CO2'!I28,'CH4'!I28,N2O!I28)</f>
        <v>168872.21447568631</v>
      </c>
      <c r="J28" s="166">
        <f>SUM('CO2'!J28,'CH4'!J28,N2O!J28)</f>
        <v>169686.9114253007</v>
      </c>
      <c r="K28" s="166">
        <f>SUM('CO2'!K28,'CH4'!K28,N2O!K28)</f>
        <v>173052.77841076104</v>
      </c>
      <c r="L28" s="166">
        <f>SUM('CO2'!L28,'CH4'!L28,N2O!L28)</f>
        <v>178494.68902026681</v>
      </c>
      <c r="M28" s="166">
        <f>SUM('CO2'!M28,'CH4'!M28,N2O!M28)</f>
        <v>174498.78289643303</v>
      </c>
      <c r="N28" s="166">
        <f>SUM('CO2'!N28,'CH4'!N28,N2O!N28)</f>
        <v>170866.0068820024</v>
      </c>
      <c r="O28" s="166">
        <f>SUM('CO2'!O28,'CH4'!O28,N2O!O28)</f>
        <v>168671.77456865311</v>
      </c>
      <c r="P28" s="166">
        <f>SUM('CO2'!P28,'CH4'!P28,N2O!P28)</f>
        <v>161637.28514688817</v>
      </c>
      <c r="Q28" s="166">
        <f>SUM('CO2'!Q28,'CH4'!Q28,N2O!Q28)</f>
        <v>161555.38505933003</v>
      </c>
      <c r="R28" s="166">
        <f>SUM('CO2'!R28,'CH4'!R28,N2O!R28)</f>
        <v>154861.82347564728</v>
      </c>
      <c r="S28" s="166">
        <f>SUM('CO2'!S28,'CH4'!S28,N2O!S28)</f>
        <v>156119.22893186932</v>
      </c>
      <c r="T28" s="166">
        <f>SUM('CO2'!T28,'CH4'!T28,N2O!T28)</f>
        <v>146482.54449330625</v>
      </c>
      <c r="U28" s="166">
        <f>SUM('CO2'!U28,'CH4'!U28,N2O!U28)</f>
        <v>145846.93277305455</v>
      </c>
      <c r="V28" s="166">
        <f>SUM('CO2'!V28,'CH4'!V28,N2O!V28)</f>
        <v>146076.50452042231</v>
      </c>
      <c r="W28" s="166">
        <f>SUM('CO2'!W28,'CH4'!W28,N2O!W28)</f>
        <v>146576.2231671795</v>
      </c>
      <c r="X28" s="166">
        <f>SUM('CO2'!X28,'CH4'!X28,N2O!X28)</f>
        <v>148327.72349238821</v>
      </c>
      <c r="Y28" s="166">
        <f>SUM('CO2'!Y28,'CH4'!Y28,N2O!Y28)</f>
        <v>147001.57382709728</v>
      </c>
      <c r="Z28" s="166">
        <f>SUM('CO2'!Z28,'CH4'!Z28,N2O!Z28)</f>
        <v>151144.46116831535</v>
      </c>
      <c r="AA28" s="166">
        <f>SUM('CO2'!AA28,'CH4'!AA28,N2O!AA28)</f>
        <v>152809.38861302022</v>
      </c>
      <c r="AB28" s="166">
        <f>SUM('CO2'!AB28,'CH4'!AB28,N2O!AB28)</f>
        <v>156115.18272084891</v>
      </c>
      <c r="AC28" s="166">
        <f>SUM('CO2'!AC28,'CH4'!AC28,N2O!AC28)</f>
        <v>158952.19975189742</v>
      </c>
      <c r="AD28" s="166">
        <f>SUM('CO2'!AD28,'CH4'!AD28,N2O!AD28)</f>
        <v>162580.22182480062</v>
      </c>
      <c r="AE28" s="166">
        <f>SUM('CO2'!AE28,'CH4'!AE28,N2O!AE28)</f>
        <v>158034.67131343042</v>
      </c>
      <c r="AF28" s="166">
        <f>SUM('CO2'!AF28,'CH4'!AF28,N2O!AF28)</f>
        <v>158857.80726304275</v>
      </c>
      <c r="AG28" s="166">
        <f>SUM('CO2'!AG28,'CH4'!AG28,N2O!AG28)</f>
        <v>142414.59286425417</v>
      </c>
      <c r="AH28" s="166">
        <f>SUM('CO2'!AH28,'CH4'!AH28,N2O!AH28)</f>
        <v>143654.88021643751</v>
      </c>
      <c r="AI28" s="166">
        <f>SUM('CO2'!AI28,'CH4'!AI28,N2O!AI28)</f>
        <v>144895.021261004</v>
      </c>
      <c r="AJ28" s="166">
        <f>SUM('CO2'!AJ28,'CH4'!AJ28,N2O!AJ28)</f>
        <v>141243.80674320235</v>
      </c>
      <c r="AK28" s="166">
        <f>SUM('CO2'!AK28,'CH4'!AK28,N2O!AK28)</f>
        <v>140907.82404188247</v>
      </c>
      <c r="AL28" s="166">
        <f>SUM('CO2'!AL28,'CH4'!AL28,N2O!AL28)</f>
        <v>143042.47221282456</v>
      </c>
    </row>
    <row r="29" spans="2:39" s="149" customFormat="1" ht="18.75" customHeight="1">
      <c r="B29" s="18" t="s">
        <v>6</v>
      </c>
      <c r="C29" s="167">
        <f>SUM('CO2'!C29,'CH4'!C29,N2O!C29)</f>
        <v>3159.6200310567938</v>
      </c>
      <c r="D29" s="167">
        <f>SUM('CO2'!D29,'CH4'!D29,N2O!D29)</f>
        <v>2818.2669923203475</v>
      </c>
      <c r="E29" s="167">
        <f>SUM('CO2'!E29,'CH4'!E29,N2O!E29)</f>
        <v>2766.004240229166</v>
      </c>
      <c r="F29" s="167">
        <f>SUM('CO2'!F29,'CH4'!F29,N2O!F29)</f>
        <v>2753.6233399314901</v>
      </c>
      <c r="G29" s="167">
        <f>SUM('CO2'!G29,'CH4'!G29,N2O!G29)</f>
        <v>2560.9828370232085</v>
      </c>
      <c r="H29" s="167">
        <f>SUM('CO2'!H29,'CH4'!H29,N2O!H29)</f>
        <v>2476.8838392203675</v>
      </c>
      <c r="I29" s="167">
        <f>SUM('CO2'!I29,'CH4'!I29,N2O!I29)</f>
        <v>2354.2167712630016</v>
      </c>
      <c r="J29" s="167">
        <f>SUM('CO2'!J29,'CH4'!J29,N2O!J29)</f>
        <v>2172.8592472367654</v>
      </c>
      <c r="K29" s="167">
        <f>SUM('CO2'!K29,'CH4'!K29,N2O!K29)</f>
        <v>2050.8924559221568</v>
      </c>
      <c r="L29" s="167">
        <f>SUM('CO2'!L29,'CH4'!L29,N2O!L29)</f>
        <v>1937.9335852140168</v>
      </c>
      <c r="M29" s="167">
        <f>SUM('CO2'!M29,'CH4'!M29,N2O!M29)</f>
        <v>1953.9275677927669</v>
      </c>
      <c r="N29" s="167">
        <f>SUM('CO2'!N29,'CH4'!N29,N2O!N29)</f>
        <v>1790.9117407381</v>
      </c>
      <c r="O29" s="167">
        <f>SUM('CO2'!O29,'CH4'!O29,N2O!O29)</f>
        <v>1658.8442536026914</v>
      </c>
      <c r="P29" s="167">
        <f>SUM('CO2'!P29,'CH4'!P29,N2O!P29)</f>
        <v>1627.7467627228502</v>
      </c>
      <c r="Q29" s="167">
        <f>SUM('CO2'!Q29,'CH4'!Q29,N2O!Q29)</f>
        <v>1537.561424317305</v>
      </c>
      <c r="R29" s="167">
        <f>SUM('CO2'!R29,'CH4'!R29,N2O!R29)</f>
        <v>1429.6238741793472</v>
      </c>
      <c r="S29" s="167">
        <f>SUM('CO2'!S29,'CH4'!S29,N2O!S29)</f>
        <v>1292.1260348604133</v>
      </c>
      <c r="T29" s="167">
        <f>SUM('CO2'!T29,'CH4'!T29,N2O!T29)</f>
        <v>1249.2261396697677</v>
      </c>
      <c r="U29" s="167">
        <f>SUM('CO2'!U29,'CH4'!U29,N2O!U29)</f>
        <v>1216.3692937409271</v>
      </c>
      <c r="V29" s="167">
        <f>SUM('CO2'!V29,'CH4'!V29,N2O!V29)</f>
        <v>1099.9399172383319</v>
      </c>
      <c r="W29" s="167">
        <f>SUM('CO2'!W29,'CH4'!W29,N2O!W29)</f>
        <v>1120.8051130835088</v>
      </c>
      <c r="X29" s="167">
        <f>SUM('CO2'!X29,'CH4'!X29,N2O!X29)</f>
        <v>1132.118037498519</v>
      </c>
      <c r="Y29" s="167">
        <f>SUM('CO2'!Y29,'CH4'!Y29,N2O!Y29)</f>
        <v>1042.2031375197303</v>
      </c>
      <c r="Z29" s="167">
        <f>SUM('CO2'!Z29,'CH4'!Z29,N2O!Z29)</f>
        <v>1060.1188258916354</v>
      </c>
      <c r="AA29" s="167">
        <f>SUM('CO2'!AA29,'CH4'!AA29,N2O!AA29)</f>
        <v>948.42688143698956</v>
      </c>
      <c r="AB29" s="167">
        <f>SUM('CO2'!AB29,'CH4'!AB29,N2O!AB29)</f>
        <v>1024.479147751151</v>
      </c>
      <c r="AC29" s="167">
        <f>SUM('CO2'!AC29,'CH4'!AC29,N2O!AC29)</f>
        <v>1059.2658320002572</v>
      </c>
      <c r="AD29" s="167">
        <f>SUM('CO2'!AD29,'CH4'!AD29,N2O!AD29)</f>
        <v>878.78538992439485</v>
      </c>
      <c r="AE29" s="167">
        <f>SUM('CO2'!AE29,'CH4'!AE29,N2O!AE29)</f>
        <v>735.89169370911827</v>
      </c>
      <c r="AF29" s="167">
        <f>SUM('CO2'!AF29,'CH4'!AF29,N2O!AF29)</f>
        <v>834.13196599139258</v>
      </c>
      <c r="AG29" s="167">
        <f>SUM('CO2'!AG29,'CH4'!AG29,N2O!AG29)</f>
        <v>832.62014456158886</v>
      </c>
      <c r="AH29" s="167">
        <f>SUM('CO2'!AH29,'CH4'!AH29,N2O!AH29)</f>
        <v>855.50885362341126</v>
      </c>
      <c r="AI29" s="167">
        <f>SUM('CO2'!AI29,'CH4'!AI29,N2O!AI29)</f>
        <v>811.69380586988814</v>
      </c>
      <c r="AJ29" s="167">
        <f>SUM('CO2'!AJ29,'CH4'!AJ29,N2O!AJ29)</f>
        <v>778.5316087317683</v>
      </c>
      <c r="AK29" s="167">
        <f>SUM('CO2'!AK29,'CH4'!AK29,N2O!AK29)</f>
        <v>744.8931238587445</v>
      </c>
      <c r="AL29" s="167">
        <f>SUM('CO2'!AL29,'CH4'!AL29,N2O!AL29)</f>
        <v>741.78235890750693</v>
      </c>
    </row>
    <row r="30" spans="2:39" s="149" customFormat="1" ht="18.75" customHeight="1">
      <c r="B30" s="89" t="s">
        <v>7</v>
      </c>
      <c r="C30" s="166">
        <f>SUM('CO2'!C30,'CH4'!C30,N2O!C30)</f>
        <v>3035.0977200431698</v>
      </c>
      <c r="D30" s="166">
        <f>SUM('CO2'!D30,'CH4'!D30,N2O!D30)</f>
        <v>2917.6231880105024</v>
      </c>
      <c r="E30" s="166">
        <f>SUM('CO2'!E30,'CH4'!E30,N2O!E30)</f>
        <v>2979.0199349019349</v>
      </c>
      <c r="F30" s="166">
        <f>SUM('CO2'!F30,'CH4'!F30,N2O!F30)</f>
        <v>2963.6688282034684</v>
      </c>
      <c r="G30" s="166">
        <f>SUM('CO2'!G30,'CH4'!G30,N2O!G30)</f>
        <v>2909.2835547146396</v>
      </c>
      <c r="H30" s="166">
        <f>SUM('CO2'!H30,'CH4'!H30,N2O!H30)</f>
        <v>2455.2706446638695</v>
      </c>
      <c r="I30" s="166">
        <f>SUM('CO2'!I30,'CH4'!I30,N2O!I30)</f>
        <v>2275.4227085006414</v>
      </c>
      <c r="J30" s="166">
        <f>SUM('CO2'!J30,'CH4'!J30,N2O!J30)</f>
        <v>1945.1644765425888</v>
      </c>
      <c r="K30" s="166">
        <f>SUM('CO2'!K30,'CH4'!K30,N2O!K30)</f>
        <v>1965.639034097157</v>
      </c>
      <c r="L30" s="166">
        <f>SUM('CO2'!L30,'CH4'!L30,N2O!L30)</f>
        <v>1727.4748292249883</v>
      </c>
      <c r="M30" s="166">
        <f>SUM('CO2'!M30,'CH4'!M30,N2O!M30)</f>
        <v>1641.2418786143296</v>
      </c>
      <c r="N30" s="166">
        <f>SUM('CO2'!N30,'CH4'!N30,N2O!N30)</f>
        <v>1628.2415358301757</v>
      </c>
      <c r="O30" s="166">
        <f>SUM('CO2'!O30,'CH4'!O30,N2O!O30)</f>
        <v>1555.14872198326</v>
      </c>
      <c r="P30" s="166">
        <f>SUM('CO2'!P30,'CH4'!P30,N2O!P30)</f>
        <v>1891.984533757771</v>
      </c>
      <c r="Q30" s="166">
        <f>SUM('CO2'!Q30,'CH4'!Q30,N2O!Q30)</f>
        <v>2001.6861825432993</v>
      </c>
      <c r="R30" s="166">
        <f>SUM('CO2'!R30,'CH4'!R30,N2O!R30)</f>
        <v>2126.7265308166502</v>
      </c>
      <c r="S30" s="166">
        <f>SUM('CO2'!S30,'CH4'!S30,N2O!S30)</f>
        <v>2133.982061874216</v>
      </c>
      <c r="T30" s="166">
        <f>SUM('CO2'!T30,'CH4'!T30,N2O!T30)</f>
        <v>1935.0527936515418</v>
      </c>
      <c r="U30" s="166">
        <f>SUM('CO2'!U30,'CH4'!U30,N2O!U30)</f>
        <v>2158.6637243444316</v>
      </c>
      <c r="V30" s="166">
        <f>SUM('CO2'!V30,'CH4'!V30,N2O!V30)</f>
        <v>1796.8560809655405</v>
      </c>
      <c r="W30" s="166">
        <f>SUM('CO2'!W30,'CH4'!W30,N2O!W30)</f>
        <v>1943.1570470036795</v>
      </c>
      <c r="X30" s="166">
        <f>SUM('CO2'!X30,'CH4'!X30,N2O!X30)</f>
        <v>1808.0868381566938</v>
      </c>
      <c r="Y30" s="166">
        <f>SUM('CO2'!Y30,'CH4'!Y30,N2O!Y30)</f>
        <v>1862.719781669414</v>
      </c>
      <c r="Z30" s="166">
        <f>SUM('CO2'!Z30,'CH4'!Z30,N2O!Z30)</f>
        <v>1858.6774121890217</v>
      </c>
      <c r="AA30" s="166">
        <f>SUM('CO2'!AA30,'CH4'!AA30,N2O!AA30)</f>
        <v>1888.0558226168275</v>
      </c>
      <c r="AB30" s="166">
        <f>SUM('CO2'!AB30,'CH4'!AB30,N2O!AB30)</f>
        <v>1872.5999195328664</v>
      </c>
      <c r="AC30" s="166">
        <f>SUM('CO2'!AC30,'CH4'!AC30,N2O!AC30)</f>
        <v>1795.6745148254884</v>
      </c>
      <c r="AD30" s="166">
        <f>SUM('CO2'!AD30,'CH4'!AD30,N2O!AD30)</f>
        <v>1798.0904323370464</v>
      </c>
      <c r="AE30" s="166">
        <f>SUM('CO2'!AE30,'CH4'!AE30,N2O!AE30)</f>
        <v>1852.2956797163272</v>
      </c>
      <c r="AF30" s="166">
        <f>SUM('CO2'!AF30,'CH4'!AF30,N2O!AF30)</f>
        <v>1854.767977898171</v>
      </c>
      <c r="AG30" s="166">
        <f>SUM('CO2'!AG30,'CH4'!AG30,N2O!AG30)</f>
        <v>1717.8413868597975</v>
      </c>
      <c r="AH30" s="166">
        <f>SUM('CO2'!AH30,'CH4'!AH30,N2O!AH30)</f>
        <v>1583.9259199941148</v>
      </c>
      <c r="AI30" s="166">
        <f>SUM('CO2'!AI30,'CH4'!AI30,N2O!AI30)</f>
        <v>1321.0433279565364</v>
      </c>
      <c r="AJ30" s="166">
        <f>SUM('CO2'!AJ30,'CH4'!AJ30,N2O!AJ30)</f>
        <v>1362.5740419519889</v>
      </c>
      <c r="AK30" s="166">
        <f>SUM('CO2'!AK30,'CH4'!AK30,N2O!AK30)</f>
        <v>1431.0723957453956</v>
      </c>
      <c r="AL30" s="166">
        <f>SUM('CO2'!AL30,'CH4'!AL30,N2O!AL30)</f>
        <v>1416.1297866122111</v>
      </c>
    </row>
    <row r="31" spans="2:39" s="149" customFormat="1" ht="18.75" customHeight="1">
      <c r="B31" s="1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2:39" s="10" customFormat="1" ht="18.75" customHeight="1">
      <c r="B32" s="152" t="s">
        <v>15</v>
      </c>
      <c r="C32" s="164">
        <f>SUMIF(C33:C40,"&lt;1E+307")</f>
        <v>85776.819711507851</v>
      </c>
      <c r="D32" s="164">
        <f t="shared" ref="D32:AF32" si="23">SUMIF(D33:D40,"&lt;1E+307")</f>
        <v>76296.539535954857</v>
      </c>
      <c r="E32" s="164">
        <f t="shared" si="23"/>
        <v>75156.390526450341</v>
      </c>
      <c r="F32" s="164">
        <f t="shared" si="23"/>
        <v>74360.189429137565</v>
      </c>
      <c r="G32" s="164">
        <f t="shared" si="23"/>
        <v>74934.669624752773</v>
      </c>
      <c r="H32" s="164">
        <f t="shared" si="23"/>
        <v>74844.108020139713</v>
      </c>
      <c r="I32" s="164">
        <f t="shared" si="23"/>
        <v>75949.608979255296</v>
      </c>
      <c r="J32" s="164">
        <f t="shared" si="23"/>
        <v>73963.672982207965</v>
      </c>
      <c r="K32" s="164">
        <f t="shared" si="23"/>
        <v>73589.188781903009</v>
      </c>
      <c r="L32" s="164">
        <f t="shared" si="23"/>
        <v>73737.611685089549</v>
      </c>
      <c r="M32" s="164">
        <f t="shared" si="23"/>
        <v>72708.344376258567</v>
      </c>
      <c r="N32" s="164">
        <f t="shared" si="23"/>
        <v>72942.642855525468</v>
      </c>
      <c r="O32" s="164">
        <f t="shared" si="23"/>
        <v>71843.233178534283</v>
      </c>
      <c r="P32" s="164">
        <f t="shared" si="23"/>
        <v>68730.90315150535</v>
      </c>
      <c r="Q32" s="164">
        <f t="shared" si="23"/>
        <v>68705.847786067388</v>
      </c>
      <c r="R32" s="164">
        <f t="shared" si="23"/>
        <v>68247.440802044235</v>
      </c>
      <c r="S32" s="164">
        <f t="shared" si="23"/>
        <v>67698.143210464186</v>
      </c>
      <c r="T32" s="164">
        <f t="shared" si="23"/>
        <v>68158.512496660449</v>
      </c>
      <c r="U32" s="164">
        <f t="shared" si="23"/>
        <v>67567.024212692879</v>
      </c>
      <c r="V32" s="164">
        <f t="shared" si="23"/>
        <v>67601.242753802915</v>
      </c>
      <c r="W32" s="164">
        <f t="shared" si="23"/>
        <v>67795.567311718318</v>
      </c>
      <c r="X32" s="164">
        <f t="shared" si="23"/>
        <v>68214.170448732242</v>
      </c>
      <c r="Y32" s="164">
        <f t="shared" si="23"/>
        <v>68013.050823684913</v>
      </c>
      <c r="Z32" s="164">
        <f t="shared" si="23"/>
        <v>69373.201402205159</v>
      </c>
      <c r="AA32" s="164">
        <f t="shared" si="23"/>
        <v>70820.628331803891</v>
      </c>
      <c r="AB32" s="164">
        <f t="shared" si="23"/>
        <v>69717.072689616645</v>
      </c>
      <c r="AC32" s="164">
        <f t="shared" si="23"/>
        <v>70111.547703125281</v>
      </c>
      <c r="AD32" s="164">
        <f t="shared" si="23"/>
        <v>69331.952256734803</v>
      </c>
      <c r="AE32" s="164">
        <f t="shared" si="23"/>
        <v>66245.97372061263</v>
      </c>
      <c r="AF32" s="164">
        <f t="shared" si="23"/>
        <v>66105.897936157169</v>
      </c>
      <c r="AG32" s="164">
        <f t="shared" ref="AG32" si="24">SUMIF(AG33:AG40,"&lt;1E+307")</f>
        <v>64974.689392425928</v>
      </c>
      <c r="AH32" s="164">
        <f t="shared" ref="AH32" si="25">SUMIF(AH33:AH40,"&lt;1E+307")</f>
        <v>64238.336695656006</v>
      </c>
      <c r="AI32" s="164">
        <f t="shared" ref="AI32" si="26">SUMIF(AI33:AI40,"&lt;1E+307")</f>
        <v>61920.176584801615</v>
      </c>
      <c r="AJ32" s="164">
        <f t="shared" ref="AJ32:AL32" si="27">SUMIF(AJ33:AJ40,"&lt;1E+307")</f>
        <v>62742.735336161677</v>
      </c>
      <c r="AK32" s="164">
        <f t="shared" si="27"/>
        <v>60846.136464729105</v>
      </c>
      <c r="AL32" s="164">
        <f t="shared" si="27"/>
        <v>60842.481207611774</v>
      </c>
    </row>
    <row r="33" spans="2:38" s="149" customFormat="1" ht="18.75" customHeight="1">
      <c r="B33" s="18" t="s">
        <v>18</v>
      </c>
      <c r="C33" s="167">
        <f>SUM('CO2'!C33,'CH4'!C33,N2O!C33)</f>
        <v>11698.748613722195</v>
      </c>
      <c r="D33" s="167">
        <f>SUM('CO2'!D33,'CH4'!D33,N2O!D33)</f>
        <v>9900.8403168858258</v>
      </c>
      <c r="E33" s="167">
        <f>SUM('CO2'!E33,'CH4'!E33,N2O!E33)</f>
        <v>9321.8540477504339</v>
      </c>
      <c r="F33" s="167">
        <f>SUM('CO2'!F33,'CH4'!F33,N2O!F33)</f>
        <v>9747.7456660001917</v>
      </c>
      <c r="G33" s="167">
        <f>SUM('CO2'!G33,'CH4'!G33,N2O!G33)</f>
        <v>9695.47220242404</v>
      </c>
      <c r="H33" s="167">
        <f>SUM('CO2'!H33,'CH4'!H33,N2O!H33)</f>
        <v>9964.1607277747735</v>
      </c>
      <c r="I33" s="167">
        <f>SUM('CO2'!I33,'CH4'!I33,N2O!I33)</f>
        <v>11024.565099899013</v>
      </c>
      <c r="J33" s="167">
        <f>SUM('CO2'!J33,'CH4'!J33,N2O!J33)</f>
        <v>9845.6128295116159</v>
      </c>
      <c r="K33" s="167">
        <f>SUM('CO2'!K33,'CH4'!K33,N2O!K33)</f>
        <v>9327.8823913319193</v>
      </c>
      <c r="L33" s="167">
        <f>SUM('CO2'!L33,'CH4'!L33,N2O!L33)</f>
        <v>9436.7399110406932</v>
      </c>
      <c r="M33" s="167">
        <f>SUM('CO2'!M33,'CH4'!M33,N2O!M33)</f>
        <v>8558.3691160210656</v>
      </c>
      <c r="N33" s="167">
        <f>SUM('CO2'!N33,'CH4'!N33,N2O!N33)</f>
        <v>8799.3967899524669</v>
      </c>
      <c r="O33" s="167">
        <f>SUM('CO2'!O33,'CH4'!O33,N2O!O33)</f>
        <v>8490.3724436293396</v>
      </c>
      <c r="P33" s="167">
        <f>SUM('CO2'!P33,'CH4'!P33,N2O!P33)</f>
        <v>8123.296115434393</v>
      </c>
      <c r="Q33" s="167">
        <f>SUM('CO2'!Q33,'CH4'!Q33,N2O!Q33)</f>
        <v>7893.7752016794684</v>
      </c>
      <c r="R33" s="167">
        <f>SUM('CO2'!R33,'CH4'!R33,N2O!R33)</f>
        <v>7641.2581918064934</v>
      </c>
      <c r="S33" s="167">
        <f>SUM('CO2'!S33,'CH4'!S33,N2O!S33)</f>
        <v>7965.6844825834232</v>
      </c>
      <c r="T33" s="167">
        <f>SUM('CO2'!T33,'CH4'!T33,N2O!T33)</f>
        <v>7266.8233016736995</v>
      </c>
      <c r="U33" s="167">
        <f>SUM('CO2'!U33,'CH4'!U33,N2O!U33)</f>
        <v>7745.5874417221148</v>
      </c>
      <c r="V33" s="167">
        <f>SUM('CO2'!V33,'CH4'!V33,N2O!V33)</f>
        <v>7281.7713874584497</v>
      </c>
      <c r="W33" s="167">
        <f>SUM('CO2'!W33,'CH4'!W33,N2O!W33)</f>
        <v>7646.0212265012115</v>
      </c>
      <c r="X33" s="167">
        <f>SUM('CO2'!X33,'CH4'!X33,N2O!X33)</f>
        <v>8283.6808373957156</v>
      </c>
      <c r="Y33" s="167">
        <f>SUM('CO2'!Y33,'CH4'!Y33,N2O!Y33)</f>
        <v>7928.6421122170323</v>
      </c>
      <c r="Z33" s="167">
        <f>SUM('CO2'!Z33,'CH4'!Z33,N2O!Z33)</f>
        <v>7816.6277942825254</v>
      </c>
      <c r="AA33" s="167">
        <f>SUM('CO2'!AA33,'CH4'!AA33,N2O!AA33)</f>
        <v>8510.464744967112</v>
      </c>
      <c r="AB33" s="167">
        <f>SUM('CO2'!AB33,'CH4'!AB33,N2O!AB33)</f>
        <v>8104.6574716373825</v>
      </c>
      <c r="AC33" s="167">
        <f>SUM('CO2'!AC33,'CH4'!AC33,N2O!AC33)</f>
        <v>8237.5488107476885</v>
      </c>
      <c r="AD33" s="167">
        <f>SUM('CO2'!AD33,'CH4'!AD33,N2O!AD33)</f>
        <v>7642.839883042805</v>
      </c>
      <c r="AE33" s="167">
        <f>SUM('CO2'!AE33,'CH4'!AE33,N2O!AE33)</f>
        <v>7520.5007203119476</v>
      </c>
      <c r="AF33" s="167">
        <f>SUM('CO2'!AF33,'CH4'!AF33,N2O!AF33)</f>
        <v>7472.1738999568652</v>
      </c>
      <c r="AG33" s="167">
        <f>SUM('CO2'!AG33,'CH4'!AG33,N2O!AG33)</f>
        <v>7773.3537260193334</v>
      </c>
      <c r="AH33" s="167">
        <f>SUM('CO2'!AH33,'CH4'!AH33,N2O!AH33)</f>
        <v>7878.4646239784179</v>
      </c>
      <c r="AI33" s="167">
        <f>SUM('CO2'!AI33,'CH4'!AI33,N2O!AI33)</f>
        <v>7599.8570754452348</v>
      </c>
      <c r="AJ33" s="167">
        <f>SUM('CO2'!AJ33,'CH4'!AJ33,N2O!AJ33)</f>
        <v>7539.8268767853315</v>
      </c>
      <c r="AK33" s="167">
        <f>SUM('CO2'!AK33,'CH4'!AK33,N2O!AK33)</f>
        <v>7538.251899230806</v>
      </c>
      <c r="AL33" s="167">
        <f>SUM('CO2'!AL33,'CH4'!AL33,N2O!AL33)</f>
        <v>7532.6000904258717</v>
      </c>
    </row>
    <row r="34" spans="2:38" s="149" customFormat="1" ht="18.75" customHeight="1">
      <c r="B34" s="89" t="s">
        <v>29</v>
      </c>
      <c r="C34" s="166">
        <f>SUM('CH4'!C34)</f>
        <v>37623.818570134441</v>
      </c>
      <c r="D34" s="166">
        <f>SUM('CH4'!D34)</f>
        <v>33628.537763700529</v>
      </c>
      <c r="E34" s="166">
        <f>SUM('CH4'!E34)</f>
        <v>32826.754687014298</v>
      </c>
      <c r="F34" s="166">
        <f>SUM('CH4'!F34)</f>
        <v>32912.896474748908</v>
      </c>
      <c r="G34" s="166">
        <f>SUM('CH4'!G34)</f>
        <v>33123.775099132072</v>
      </c>
      <c r="H34" s="166">
        <f>SUM('CH4'!H34)</f>
        <v>33221.251289155305</v>
      </c>
      <c r="I34" s="166">
        <f>SUM('CH4'!I34)</f>
        <v>33271.361275518255</v>
      </c>
      <c r="J34" s="166">
        <f>SUM('CH4'!J34)</f>
        <v>32299.357543138274</v>
      </c>
      <c r="K34" s="166">
        <f>SUM('CH4'!K34)</f>
        <v>32070.473420170722</v>
      </c>
      <c r="L34" s="166">
        <f>SUM('CH4'!L34)</f>
        <v>31804.316751529699</v>
      </c>
      <c r="M34" s="166">
        <f>SUM('CH4'!M34)</f>
        <v>31287.378755775884</v>
      </c>
      <c r="N34" s="166">
        <f>SUM('CH4'!N34)</f>
        <v>31764.778917567564</v>
      </c>
      <c r="O34" s="166">
        <f>SUM('CH4'!O34)</f>
        <v>30547.860155399798</v>
      </c>
      <c r="P34" s="166">
        <f>SUM('CH4'!P34)</f>
        <v>30178.909691242588</v>
      </c>
      <c r="Q34" s="166">
        <f>SUM('CH4'!Q34)</f>
        <v>29356.259196745803</v>
      </c>
      <c r="R34" s="166">
        <f>SUM('CH4'!R34)</f>
        <v>29158.174775412775</v>
      </c>
      <c r="S34" s="166">
        <f>SUM('CH4'!S34)</f>
        <v>28583.613982304109</v>
      </c>
      <c r="T34" s="166">
        <f>SUM('CH4'!T34)</f>
        <v>28701.576294346993</v>
      </c>
      <c r="U34" s="166">
        <f>SUM('CH4'!U34)</f>
        <v>28935.175879035734</v>
      </c>
      <c r="V34" s="166">
        <f>SUM('CH4'!V34)</f>
        <v>28946.635446492211</v>
      </c>
      <c r="W34" s="166">
        <f>SUM('CH4'!W34)</f>
        <v>28765.126016082399</v>
      </c>
      <c r="X34" s="166">
        <f>SUM('CH4'!X34)</f>
        <v>28390.152139165373</v>
      </c>
      <c r="Y34" s="166">
        <f>SUM('CH4'!Y34)</f>
        <v>28397.042956882487</v>
      </c>
      <c r="Z34" s="166">
        <f>SUM('CH4'!Z34)</f>
        <v>28745.592399611112</v>
      </c>
      <c r="AA34" s="166">
        <f>SUM('CH4'!AA34)</f>
        <v>28986.641203496751</v>
      </c>
      <c r="AB34" s="166">
        <f>SUM('CH4'!AB34)</f>
        <v>28920.93643026131</v>
      </c>
      <c r="AC34" s="166">
        <f>SUM('CH4'!AC34)</f>
        <v>28634.82408399753</v>
      </c>
      <c r="AD34" s="166">
        <f>SUM('CH4'!AD34)</f>
        <v>28414.03225172645</v>
      </c>
      <c r="AE34" s="166">
        <f>SUM('CH4'!AE34)</f>
        <v>27989.804268351345</v>
      </c>
      <c r="AF34" s="166">
        <f>SUM('CH4'!AF34)</f>
        <v>27676.508983736436</v>
      </c>
      <c r="AG34" s="166">
        <f>SUM('CH4'!AG34)</f>
        <v>27260.502253098137</v>
      </c>
      <c r="AH34" s="166">
        <f>SUM('CH4'!AH34)</f>
        <v>26742.03336682776</v>
      </c>
      <c r="AI34" s="166">
        <f>SUM('CH4'!AI34)</f>
        <v>26473.023260342168</v>
      </c>
      <c r="AJ34" s="166">
        <f>SUM('CH4'!AJ34)</f>
        <v>26428.064953704634</v>
      </c>
      <c r="AK34" s="166">
        <f>SUM('CH4'!AK34)</f>
        <v>25847.951169644228</v>
      </c>
      <c r="AL34" s="166">
        <f>SUM('CH4'!AL34)</f>
        <v>25868.084010169121</v>
      </c>
    </row>
    <row r="35" spans="2:38" s="149" customFormat="1" ht="18.75" customHeight="1">
      <c r="B35" s="18" t="s">
        <v>30</v>
      </c>
      <c r="C35" s="167">
        <f>SUM('CH4'!C35,N2O!C35)</f>
        <v>12970.582924134251</v>
      </c>
      <c r="D35" s="167">
        <f>SUM('CH4'!D35,N2O!D35)</f>
        <v>11488.280341338846</v>
      </c>
      <c r="E35" s="167">
        <f>SUM('CH4'!E35,N2O!E35)</f>
        <v>11589.248757503161</v>
      </c>
      <c r="F35" s="167">
        <f>SUM('CH4'!F35,N2O!F35)</f>
        <v>11772.939653511869</v>
      </c>
      <c r="G35" s="167">
        <f>SUM('CH4'!G35,N2O!G35)</f>
        <v>11797.229683891856</v>
      </c>
      <c r="H35" s="167">
        <f>SUM('CH4'!H35,N2O!H35)</f>
        <v>11782.903187525875</v>
      </c>
      <c r="I35" s="167">
        <f>SUM('CH4'!I35,N2O!I35)</f>
        <v>11888.428632047046</v>
      </c>
      <c r="J35" s="167">
        <f>SUM('CH4'!J35,N2O!J35)</f>
        <v>11625.202512865753</v>
      </c>
      <c r="K35" s="167">
        <f>SUM('CH4'!K35,N2O!K35)</f>
        <v>11852.352442867597</v>
      </c>
      <c r="L35" s="167">
        <f>SUM('CH4'!L35,N2O!L35)</f>
        <v>11677.909683188824</v>
      </c>
      <c r="M35" s="167">
        <f>SUM('CH4'!M35,N2O!M35)</f>
        <v>11648.685141664544</v>
      </c>
      <c r="N35" s="167">
        <f>SUM('CH4'!N35,N2O!N35)</f>
        <v>11864.082888617113</v>
      </c>
      <c r="O35" s="167">
        <f>SUM('CH4'!O35,N2O!O35)</f>
        <v>11605.570447266204</v>
      </c>
      <c r="P35" s="167">
        <f>SUM('CH4'!P35,N2O!P35)</f>
        <v>11215.322734695423</v>
      </c>
      <c r="Q35" s="167">
        <f>SUM('CH4'!Q35,N2O!Q35)</f>
        <v>11234.67309073397</v>
      </c>
      <c r="R35" s="167">
        <f>SUM('CH4'!R35,N2O!R35)</f>
        <v>11121.699862067155</v>
      </c>
      <c r="S35" s="167">
        <f>SUM('CH4'!S35,N2O!S35)</f>
        <v>10821.611178501453</v>
      </c>
      <c r="T35" s="167">
        <f>SUM('CH4'!T35,N2O!T35)</f>
        <v>10972.972795078736</v>
      </c>
      <c r="U35" s="167">
        <f>SUM('CH4'!U35,N2O!U35)</f>
        <v>10735.976580177234</v>
      </c>
      <c r="V35" s="167">
        <f>SUM('CH4'!V35,N2O!V35)</f>
        <v>10673.414055811447</v>
      </c>
      <c r="W35" s="167">
        <f>SUM('CH4'!W35,N2O!W35)</f>
        <v>10331.344302185722</v>
      </c>
      <c r="X35" s="167">
        <f>SUM('CH4'!X35,N2O!X35)</f>
        <v>10057.554418421605</v>
      </c>
      <c r="Y35" s="167">
        <f>SUM('CH4'!Y35,N2O!Y35)</f>
        <v>10133.157470454582</v>
      </c>
      <c r="Z35" s="167">
        <f>SUM('CH4'!Z35,N2O!Z35)</f>
        <v>10240.24264694484</v>
      </c>
      <c r="AA35" s="167">
        <f>SUM('CH4'!AA35,N2O!AA35)</f>
        <v>10288.804418560565</v>
      </c>
      <c r="AB35" s="167">
        <f>SUM('CH4'!AB35,N2O!AB35)</f>
        <v>10085.72341903394</v>
      </c>
      <c r="AC35" s="167">
        <f>SUM('CH4'!AC35,N2O!AC35)</f>
        <v>10133.15197617603</v>
      </c>
      <c r="AD35" s="167">
        <f>SUM('CH4'!AD35,N2O!AD35)</f>
        <v>10304.107052083134</v>
      </c>
      <c r="AE35" s="167">
        <f>SUM('CH4'!AE35,N2O!AE35)</f>
        <v>9633.7488348774896</v>
      </c>
      <c r="AF35" s="167">
        <f>SUM('CH4'!AF35,N2O!AF35)</f>
        <v>9842.689425716384</v>
      </c>
      <c r="AG35" s="167">
        <f>SUM('CH4'!AG35,N2O!AG35)</f>
        <v>9626.3938629428831</v>
      </c>
      <c r="AH35" s="167">
        <f>SUM('CH4'!AH35,N2O!AH35)</f>
        <v>9424.054927606905</v>
      </c>
      <c r="AI35" s="167">
        <f>SUM('CH4'!AI35,N2O!AI35)</f>
        <v>8637.0372710542615</v>
      </c>
      <c r="AJ35" s="167">
        <f>SUM('CH4'!AJ35,N2O!AJ35)</f>
        <v>9154.4818417823153</v>
      </c>
      <c r="AK35" s="167">
        <f>SUM('CH4'!AK35,N2O!AK35)</f>
        <v>9067.3243154768734</v>
      </c>
      <c r="AL35" s="167">
        <f>SUM('CH4'!AL35,N2O!AL35)</f>
        <v>8698.3705988347065</v>
      </c>
    </row>
    <row r="36" spans="2:38" s="149" customFormat="1" ht="18.75" customHeight="1">
      <c r="B36" s="89" t="s">
        <v>31</v>
      </c>
      <c r="C36" s="166">
        <f>SUM(N2O!C36)</f>
        <v>20292.796483643706</v>
      </c>
      <c r="D36" s="166">
        <f>SUM(N2O!D36)</f>
        <v>18380.558642769203</v>
      </c>
      <c r="E36" s="166">
        <f>SUM(N2O!E36)</f>
        <v>18791.817831279146</v>
      </c>
      <c r="F36" s="166">
        <f>SUM(N2O!F36)</f>
        <v>17622.261821809792</v>
      </c>
      <c r="G36" s="166">
        <f>SUM(N2O!G36)</f>
        <v>18140.644002589237</v>
      </c>
      <c r="H36" s="166">
        <f>SUM(N2O!H36)</f>
        <v>17742.741249849012</v>
      </c>
      <c r="I36" s="166">
        <f>SUM(N2O!I36)</f>
        <v>17500.783752162188</v>
      </c>
      <c r="J36" s="166">
        <f>SUM(N2O!J36)</f>
        <v>17827.132355702346</v>
      </c>
      <c r="K36" s="166">
        <f>SUM(N2O!K36)</f>
        <v>17830.632432178321</v>
      </c>
      <c r="L36" s="166">
        <f>SUM(N2O!L36)</f>
        <v>18146.345967662597</v>
      </c>
      <c r="M36" s="166">
        <f>SUM(N2O!M36)</f>
        <v>18514.035257609063</v>
      </c>
      <c r="N36" s="166">
        <f>SUM(N2O!N36)</f>
        <v>17786.009794456844</v>
      </c>
      <c r="O36" s="166">
        <f>SUM(N2O!O36)</f>
        <v>18556.562889739496</v>
      </c>
      <c r="P36" s="166">
        <f>SUM(N2O!P36)</f>
        <v>16576.349743752384</v>
      </c>
      <c r="Q36" s="166">
        <f>SUM(N2O!Q36)</f>
        <v>17656.356464838525</v>
      </c>
      <c r="R36" s="166">
        <f>SUM(N2O!R36)</f>
        <v>17584.443646017913</v>
      </c>
      <c r="S36" s="166">
        <f>SUM(N2O!S36)</f>
        <v>17472.995336253163</v>
      </c>
      <c r="T36" s="166">
        <f>SUM(N2O!T36)</f>
        <v>18145.516902199553</v>
      </c>
      <c r="U36" s="166">
        <f>SUM(N2O!U36)</f>
        <v>16899.017074726497</v>
      </c>
      <c r="V36" s="166">
        <f>SUM(N2O!V36)</f>
        <v>17297.057805814689</v>
      </c>
      <c r="W36" s="166">
        <f>SUM(N2O!W36)</f>
        <v>17391.615763774545</v>
      </c>
      <c r="X36" s="166">
        <f>SUM(N2O!X36)</f>
        <v>17591.136643790374</v>
      </c>
      <c r="Y36" s="166">
        <f>SUM(N2O!Y36)</f>
        <v>17515.986531982249</v>
      </c>
      <c r="Z36" s="166">
        <f>SUM(N2O!Z36)</f>
        <v>18154.536276528994</v>
      </c>
      <c r="AA36" s="166">
        <f>SUM(N2O!AA36)</f>
        <v>18399.151522699132</v>
      </c>
      <c r="AB36" s="166">
        <f>SUM(N2O!AB36)</f>
        <v>17903.118975333175</v>
      </c>
      <c r="AC36" s="166">
        <f>SUM(N2O!AC36)</f>
        <v>18440.366644996044</v>
      </c>
      <c r="AD36" s="166">
        <f>SUM(N2O!AD36)</f>
        <v>18405.166249605805</v>
      </c>
      <c r="AE36" s="166">
        <f>SUM(N2O!AE36)</f>
        <v>16604.219246776927</v>
      </c>
      <c r="AF36" s="166">
        <f>SUM(N2O!AF36)</f>
        <v>16782.605406001614</v>
      </c>
      <c r="AG36" s="166">
        <f>SUM(N2O!AG36)</f>
        <v>16095.648148969454</v>
      </c>
      <c r="AH36" s="166">
        <f>SUM(N2O!AH36)</f>
        <v>16121.790854353678</v>
      </c>
      <c r="AI36" s="166">
        <f>SUM(N2O!AI36)</f>
        <v>15058.409599081797</v>
      </c>
      <c r="AJ36" s="166">
        <f>SUM(N2O!AJ36)</f>
        <v>15648.393092963461</v>
      </c>
      <c r="AK36" s="166">
        <f>SUM(N2O!AK36)</f>
        <v>14473.136706952222</v>
      </c>
      <c r="AL36" s="166">
        <f>SUM(N2O!AL36)</f>
        <v>14570.372419433186</v>
      </c>
    </row>
    <row r="37" spans="2:38" s="149" customFormat="1" ht="18.75" customHeight="1">
      <c r="B37" s="18" t="s">
        <v>32</v>
      </c>
      <c r="C37" s="167">
        <f>SUM('CO2'!C37)</f>
        <v>2200.0091746331905</v>
      </c>
      <c r="D37" s="167">
        <f>SUM('CO2'!D37)</f>
        <v>1986.5760969733769</v>
      </c>
      <c r="E37" s="167">
        <f>SUM('CO2'!E37)</f>
        <v>1748.9646671605524</v>
      </c>
      <c r="F37" s="167">
        <f>SUM('CO2'!F37)</f>
        <v>1465.2322748345618</v>
      </c>
      <c r="G37" s="167">
        <f>SUM('CO2'!G37)</f>
        <v>1324.7076951720933</v>
      </c>
      <c r="H37" s="167">
        <f>SUM('CO2'!H37)</f>
        <v>1279.7427271810482</v>
      </c>
      <c r="I37" s="167">
        <f>SUM('CO2'!I37)</f>
        <v>1380.3173560578052</v>
      </c>
      <c r="J37" s="167">
        <f>SUM('CO2'!J37)</f>
        <v>1480.0880651919651</v>
      </c>
      <c r="K37" s="167">
        <f>SUM('CO2'!K37)</f>
        <v>1588.2379417548243</v>
      </c>
      <c r="L37" s="167">
        <f>SUM('CO2'!L37)</f>
        <v>1714.948024152578</v>
      </c>
      <c r="M37" s="167">
        <f>SUM('CO2'!M37)</f>
        <v>1695.3908956279254</v>
      </c>
      <c r="N37" s="167">
        <f>SUM('CO2'!N37)</f>
        <v>1694.2857411657083</v>
      </c>
      <c r="O37" s="167">
        <f>SUM('CO2'!O37)</f>
        <v>1592.1183269642136</v>
      </c>
      <c r="P37" s="167">
        <f>SUM('CO2'!P37)</f>
        <v>1568.2396797721244</v>
      </c>
      <c r="Q37" s="167">
        <f>SUM('CO2'!Q37)</f>
        <v>1482.4714665403244</v>
      </c>
      <c r="R37" s="167">
        <f>SUM('CO2'!R37)</f>
        <v>1427.512953315917</v>
      </c>
      <c r="S37" s="167">
        <f>SUM('CO2'!S37)</f>
        <v>1438.4972361264711</v>
      </c>
      <c r="T37" s="167">
        <f>SUM('CO2'!T37)</f>
        <v>1477.1324157155898</v>
      </c>
      <c r="U37" s="167">
        <f>SUM('CO2'!U37)</f>
        <v>1544.7135040892247</v>
      </c>
      <c r="V37" s="167">
        <f>SUM('CO2'!V37)</f>
        <v>1521.9677557275461</v>
      </c>
      <c r="W37" s="167">
        <f>SUM('CO2'!W37)</f>
        <v>1549.0008412794591</v>
      </c>
      <c r="X37" s="167">
        <f>SUM('CO2'!X37)</f>
        <v>1593.2639130940479</v>
      </c>
      <c r="Y37" s="167">
        <f>SUM('CO2'!Y37)</f>
        <v>1692.0846129581978</v>
      </c>
      <c r="Z37" s="167">
        <f>SUM('CO2'!Z37)</f>
        <v>1824.5301506517635</v>
      </c>
      <c r="AA37" s="167">
        <f>SUM('CO2'!AA37)</f>
        <v>1917.2560062283042</v>
      </c>
      <c r="AB37" s="167">
        <f>SUM('CO2'!AB37)</f>
        <v>1905.7889653428215</v>
      </c>
      <c r="AC37" s="167">
        <f>SUM('CO2'!AC37)</f>
        <v>1881.7710978389953</v>
      </c>
      <c r="AD37" s="167">
        <f>SUM('CO2'!AD37)</f>
        <v>1937.6313819510826</v>
      </c>
      <c r="AE37" s="167">
        <f>SUM('CO2'!AE37)</f>
        <v>2047.4384710724457</v>
      </c>
      <c r="AF37" s="167">
        <f>SUM('CO2'!AF37)</f>
        <v>2038.8381471044406</v>
      </c>
      <c r="AG37" s="167">
        <f>SUM('CO2'!AG37)</f>
        <v>2009.7765735279881</v>
      </c>
      <c r="AH37" s="167">
        <f>SUM('CO2'!AH37)</f>
        <v>1982.6148498016075</v>
      </c>
      <c r="AI37" s="167">
        <f>SUM('CO2'!AI37)</f>
        <v>1994.6207401739057</v>
      </c>
      <c r="AJ37" s="167">
        <f>SUM('CO2'!AJ37)</f>
        <v>1938.6849032029788</v>
      </c>
      <c r="AK37" s="167">
        <f>SUM('CO2'!AK37)</f>
        <v>1906.5042304271078</v>
      </c>
      <c r="AL37" s="167">
        <f>SUM('CO2'!AL37)</f>
        <v>2155.4966169523809</v>
      </c>
    </row>
    <row r="38" spans="2:38" s="149" customFormat="1" ht="18.75" customHeight="1">
      <c r="B38" s="89" t="s">
        <v>33</v>
      </c>
      <c r="C38" s="166">
        <f>SUM('CO2'!C38)</f>
        <v>479.99756126848592</v>
      </c>
      <c r="D38" s="166">
        <f>SUM('CO2'!D38)</f>
        <v>437.08767815465711</v>
      </c>
      <c r="E38" s="166">
        <f>SUM('CO2'!E38)</f>
        <v>427.55946715898801</v>
      </c>
      <c r="F38" s="166">
        <f>SUM('CO2'!F38)</f>
        <v>422.13570376145344</v>
      </c>
      <c r="G38" s="166">
        <f>SUM('CO2'!G38)</f>
        <v>448.57249918943671</v>
      </c>
      <c r="H38" s="166">
        <f>SUM('CO2'!H38)</f>
        <v>458.53290458490926</v>
      </c>
      <c r="I38" s="166">
        <f>SUM('CO2'!I38)</f>
        <v>484.76947595965026</v>
      </c>
      <c r="J38" s="166">
        <f>SUM('CO2'!J38)</f>
        <v>497.80342831372576</v>
      </c>
      <c r="K38" s="166">
        <f>SUM('CO2'!K38)</f>
        <v>524.10390455510424</v>
      </c>
      <c r="L38" s="166">
        <f>SUM('CO2'!L38)</f>
        <v>551.55649974929247</v>
      </c>
      <c r="M38" s="166">
        <f>SUM('CO2'!M38)</f>
        <v>593.13021403706205</v>
      </c>
      <c r="N38" s="166">
        <f>SUM('CO2'!N38)</f>
        <v>621.65452353742978</v>
      </c>
      <c r="O38" s="166">
        <f>SUM('CO2'!O38)</f>
        <v>639.95328540244543</v>
      </c>
      <c r="P38" s="166">
        <f>SUM('CO2'!P38)</f>
        <v>650.10104734449953</v>
      </c>
      <c r="Q38" s="166">
        <f>SUM('CO2'!Q38)</f>
        <v>634.30897589167773</v>
      </c>
      <c r="R38" s="166">
        <f>SUM('CO2'!R38)</f>
        <v>641.09414255526031</v>
      </c>
      <c r="S38" s="166">
        <f>SUM('CO2'!S38)</f>
        <v>630.93302353321212</v>
      </c>
      <c r="T38" s="166">
        <f>SUM('CO2'!T38)</f>
        <v>647.56030921898764</v>
      </c>
      <c r="U38" s="166">
        <f>SUM('CO2'!U38)</f>
        <v>694.62878537759286</v>
      </c>
      <c r="V38" s="166">
        <f>SUM('CO2'!V38)</f>
        <v>676.7553568457173</v>
      </c>
      <c r="W38" s="166">
        <f>SUM('CO2'!W38)</f>
        <v>710.75347585693021</v>
      </c>
      <c r="X38" s="166">
        <f>SUM('CO2'!X38)</f>
        <v>654.02883303604756</v>
      </c>
      <c r="Y38" s="166">
        <f>SUM('CO2'!Y38)</f>
        <v>689.90585683973961</v>
      </c>
      <c r="Z38" s="166">
        <f>SUM('CO2'!Z38)</f>
        <v>672.55047587429522</v>
      </c>
      <c r="AA38" s="166">
        <f>SUM('CO2'!AA38)</f>
        <v>749.704999659225</v>
      </c>
      <c r="AB38" s="166">
        <f>SUM('CO2'!AB38)</f>
        <v>791.49504757356283</v>
      </c>
      <c r="AC38" s="166">
        <f>SUM('CO2'!AC38)</f>
        <v>815.14216629614759</v>
      </c>
      <c r="AD38" s="166">
        <f>SUM('CO2'!AD38)</f>
        <v>719.56657113292431</v>
      </c>
      <c r="AE38" s="166">
        <f>SUM('CO2'!AE38)</f>
        <v>605.2506425715527</v>
      </c>
      <c r="AF38" s="166">
        <f>SUM('CO2'!AF38)</f>
        <v>497.74816644041744</v>
      </c>
      <c r="AG38" s="166">
        <f>SUM('CO2'!AG38)</f>
        <v>433.26538077639452</v>
      </c>
      <c r="AH38" s="166">
        <f>SUM('CO2'!AH38)</f>
        <v>397.29616648607748</v>
      </c>
      <c r="AI38" s="166">
        <f>SUM('CO2'!AI38)</f>
        <v>366.99928552651539</v>
      </c>
      <c r="AJ38" s="166">
        <f>SUM('CO2'!AJ38)</f>
        <v>347.51016650870753</v>
      </c>
      <c r="AK38" s="166">
        <f>SUM('CO2'!AK38)</f>
        <v>330.20166651657502</v>
      </c>
      <c r="AL38" s="166">
        <f>SUM('CO2'!AL38)</f>
        <v>329.44999999999982</v>
      </c>
    </row>
    <row r="39" spans="2:38" s="149" customFormat="1" ht="18.75" customHeight="1">
      <c r="B39" s="18" t="s">
        <v>34</v>
      </c>
      <c r="C39" s="167">
        <f>SUM('CO2'!C39)</f>
        <v>510.44657839999996</v>
      </c>
      <c r="D39" s="167">
        <f>SUM('CO2'!D39)</f>
        <v>473.6456458799999</v>
      </c>
      <c r="E39" s="167">
        <f>SUM('CO2'!E39)</f>
        <v>448.82474999999999</v>
      </c>
      <c r="F39" s="167">
        <f>SUM('CO2'!F39)</f>
        <v>415.20003839600002</v>
      </c>
      <c r="G39" s="167">
        <f>SUM('CO2'!G39)</f>
        <v>402.08593853999992</v>
      </c>
      <c r="H39" s="167">
        <f>SUM('CO2'!H39)</f>
        <v>389.494621736</v>
      </c>
      <c r="I39" s="167">
        <f>SUM('CO2'!I39)</f>
        <v>390.62263613999994</v>
      </c>
      <c r="J39" s="167">
        <f>SUM('CO2'!J39)</f>
        <v>377.44347695999994</v>
      </c>
      <c r="K39" s="167">
        <f>SUM('CO2'!K39)</f>
        <v>370.60261928800003</v>
      </c>
      <c r="L39" s="167">
        <f>SUM('CO2'!L39)</f>
        <v>377.58292378399995</v>
      </c>
      <c r="M39" s="167">
        <f>SUM('CO2'!M39)</f>
        <v>366.62832148799998</v>
      </c>
      <c r="N39" s="167">
        <f>SUM('CO2'!N39)</f>
        <v>349.01621985999992</v>
      </c>
      <c r="O39" s="167">
        <f>SUM('CO2'!O39)</f>
        <v>319.79681500800001</v>
      </c>
      <c r="P39" s="167">
        <f>SUM('CO2'!P39)</f>
        <v>312.16542676</v>
      </c>
      <c r="Q39" s="167">
        <f>SUM('CO2'!Q39)</f>
        <v>309.77691716399994</v>
      </c>
      <c r="R39" s="167">
        <f>SUM('CO2'!R39)</f>
        <v>307.53183511599997</v>
      </c>
      <c r="S39" s="167">
        <f>SUM('CO2'!S39)</f>
        <v>285.76120658800005</v>
      </c>
      <c r="T39" s="167">
        <f>SUM('CO2'!T39)</f>
        <v>282.91231086800002</v>
      </c>
      <c r="U39" s="167">
        <f>SUM('CO2'!U39)</f>
        <v>260.72744675999996</v>
      </c>
      <c r="V39" s="167">
        <f>SUM('CO2'!V39)</f>
        <v>267.26851228000004</v>
      </c>
      <c r="W39" s="167">
        <f>SUM('CO2'!W39)</f>
        <v>257.23667252799999</v>
      </c>
      <c r="X39" s="167">
        <f>SUM('CO2'!X39)</f>
        <v>264.10290676</v>
      </c>
      <c r="Y39" s="167">
        <f>SUM('CO2'!Y39)</f>
        <v>253.91420485199998</v>
      </c>
      <c r="Z39" s="167">
        <f>SUM('CO2'!Z39)</f>
        <v>240.28784537999999</v>
      </c>
      <c r="AA39" s="167">
        <f>SUM('CO2'!AA39)</f>
        <v>236.22273914799999</v>
      </c>
      <c r="AB39" s="167">
        <f>SUM('CO2'!AB39)</f>
        <v>230.67260471200001</v>
      </c>
      <c r="AC39" s="167">
        <f>SUM('CO2'!AC39)</f>
        <v>225.71571026399999</v>
      </c>
      <c r="AD39" s="167">
        <f>SUM('CO2'!AD39)</f>
        <v>213.03624601600001</v>
      </c>
      <c r="AE39" s="167">
        <f>SUM('CO2'!AE39)</f>
        <v>202.70871922399999</v>
      </c>
      <c r="AF39" s="167">
        <f>SUM('CO2'!AF39)</f>
        <v>194.21726350399999</v>
      </c>
      <c r="AG39" s="167">
        <f>SUM('CO2'!AG39)</f>
        <v>185.45922916399999</v>
      </c>
      <c r="AH39" s="167">
        <f>SUM('CO2'!AH39)</f>
        <v>175.54705748800001</v>
      </c>
      <c r="AI39" s="167">
        <f>SUM('CO2'!AI39)</f>
        <v>157.481660248</v>
      </c>
      <c r="AJ39" s="167">
        <f>SUM('CO2'!AJ39)</f>
        <v>147.80782948800001</v>
      </c>
      <c r="AK39" s="167">
        <f>SUM('CO2'!AK39)</f>
        <v>144.75106962800001</v>
      </c>
      <c r="AL39" s="167">
        <f>SUM('CO2'!AL39)</f>
        <v>152.37661130864171</v>
      </c>
    </row>
    <row r="40" spans="2:38" s="149" customFormat="1" ht="18.75" customHeight="1">
      <c r="B40" s="89" t="s">
        <v>35</v>
      </c>
      <c r="C40" s="166">
        <f>SUM('CH4'!C40,N2O!C40)</f>
        <v>0.41980557158817056</v>
      </c>
      <c r="D40" s="166">
        <f>SUM('CH4'!D40,N2O!D40)</f>
        <v>1.0130502524122471</v>
      </c>
      <c r="E40" s="166">
        <f>SUM('CH4'!E40,N2O!E40)</f>
        <v>1.3663185837539267</v>
      </c>
      <c r="F40" s="166">
        <f>SUM('CH4'!F40,N2O!F40)</f>
        <v>1.7777960747920787</v>
      </c>
      <c r="G40" s="166">
        <f>SUM('CH4'!G40,N2O!G40)</f>
        <v>2.182503814041453</v>
      </c>
      <c r="H40" s="166">
        <f>SUM('CH4'!H40,N2O!H40)</f>
        <v>5.2813123327942453</v>
      </c>
      <c r="I40" s="166">
        <f>SUM('CH4'!I40,N2O!I40)</f>
        <v>8.7607514713526591</v>
      </c>
      <c r="J40" s="166">
        <f>SUM('CH4'!J40,N2O!J40)</f>
        <v>11.032770524260448</v>
      </c>
      <c r="K40" s="166">
        <f>SUM('CH4'!K40,N2O!K40)</f>
        <v>24.903629756538862</v>
      </c>
      <c r="L40" s="166">
        <f>SUM('CH4'!L40,N2O!L40)</f>
        <v>28.211923981877817</v>
      </c>
      <c r="M40" s="166">
        <f>SUM('CH4'!M40,N2O!M40)</f>
        <v>44.7266740350248</v>
      </c>
      <c r="N40" s="166">
        <f>SUM('CH4'!N40,N2O!N40)</f>
        <v>63.417980368342803</v>
      </c>
      <c r="O40" s="166">
        <f>SUM('CH4'!O40,N2O!O40)</f>
        <v>90.998815124785608</v>
      </c>
      <c r="P40" s="166">
        <f>SUM('CH4'!P40,N2O!P40)</f>
        <v>106.51871250393521</v>
      </c>
      <c r="Q40" s="166">
        <f>SUM('CH4'!Q40,N2O!Q40)</f>
        <v>138.22647247362582</v>
      </c>
      <c r="R40" s="166">
        <f>SUM('CH4'!R40,N2O!R40)</f>
        <v>365.72539575272322</v>
      </c>
      <c r="S40" s="166">
        <f>SUM('CH4'!S40,N2O!S40)</f>
        <v>499.04676457435687</v>
      </c>
      <c r="T40" s="166">
        <f>SUM('CH4'!T40,N2O!T40)</f>
        <v>664.01816755888944</v>
      </c>
      <c r="U40" s="166">
        <f>SUM('CH4'!U40,N2O!U40)</f>
        <v>751.19750080449978</v>
      </c>
      <c r="V40" s="166">
        <f>SUM('CH4'!V40,N2O!V40)</f>
        <v>936.37243337284031</v>
      </c>
      <c r="W40" s="166">
        <f>SUM('CH4'!W40,N2O!W40)</f>
        <v>1144.4690135100511</v>
      </c>
      <c r="X40" s="166">
        <f>SUM('CH4'!X40,N2O!X40)</f>
        <v>1380.2507570690668</v>
      </c>
      <c r="Y40" s="166">
        <f>SUM('CH4'!Y40,N2O!Y40)</f>
        <v>1402.3170774986211</v>
      </c>
      <c r="Z40" s="166">
        <f>SUM('CH4'!Z40,N2O!Z40)</f>
        <v>1678.8338129316473</v>
      </c>
      <c r="AA40" s="166">
        <f>SUM('CH4'!AA40,N2O!AA40)</f>
        <v>1732.3826970448135</v>
      </c>
      <c r="AB40" s="166">
        <f>SUM('CH4'!AB40,N2O!AB40)</f>
        <v>1774.6797757224476</v>
      </c>
      <c r="AC40" s="166">
        <f>SUM('CH4'!AC40,N2O!AC40)</f>
        <v>1743.0272128088354</v>
      </c>
      <c r="AD40" s="166">
        <f>SUM('CH4'!AD40,N2O!AD40)</f>
        <v>1695.57262117662</v>
      </c>
      <c r="AE40" s="166">
        <f>SUM('CH4'!AE40,N2O!AE40)</f>
        <v>1642.3028174269102</v>
      </c>
      <c r="AF40" s="166">
        <f>SUM('CH4'!AF40,N2O!AF40)</f>
        <v>1601.1166436970191</v>
      </c>
      <c r="AG40" s="166">
        <f>SUM('CH4'!AG40,N2O!AG40)</f>
        <v>1590.2902179277376</v>
      </c>
      <c r="AH40" s="166">
        <f>SUM('CH4'!AH40,N2O!AH40)</f>
        <v>1516.5348491135562</v>
      </c>
      <c r="AI40" s="166">
        <f>SUM('CH4'!AI40,N2O!AI40)</f>
        <v>1632.7476929297261</v>
      </c>
      <c r="AJ40" s="166">
        <f>SUM('CH4'!AJ40,N2O!AJ40)</f>
        <v>1537.9656717262465</v>
      </c>
      <c r="AK40" s="166">
        <f>SUM('CH4'!AK40,N2O!AK40)</f>
        <v>1538.0154068532993</v>
      </c>
      <c r="AL40" s="166">
        <f>SUM('CH4'!AL40,N2O!AL40)</f>
        <v>1535.7308604878708</v>
      </c>
    </row>
    <row r="41" spans="2:38" s="149" customFormat="1" ht="18.75" customHeight="1">
      <c r="B41" s="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</row>
    <row r="42" spans="2:38" s="10" customFormat="1" ht="18.75" customHeight="1">
      <c r="B42" s="152" t="s">
        <v>16</v>
      </c>
      <c r="C42" s="164">
        <f>SUMIF(C43:C46,"&lt;1E+307")</f>
        <v>41550.208209684955</v>
      </c>
      <c r="D42" s="164">
        <f t="shared" ref="D42:AD42" si="28">SUMIF(D43:D46,"&lt;1E+307")</f>
        <v>43096.386910464244</v>
      </c>
      <c r="E42" s="164">
        <f t="shared" si="28"/>
        <v>43690.552789579269</v>
      </c>
      <c r="F42" s="164">
        <f t="shared" si="28"/>
        <v>43410.594571395734</v>
      </c>
      <c r="G42" s="164">
        <f t="shared" si="28"/>
        <v>42331.817932506026</v>
      </c>
      <c r="H42" s="164">
        <f t="shared" si="28"/>
        <v>41064.653718503017</v>
      </c>
      <c r="I42" s="164">
        <f t="shared" si="28"/>
        <v>39269.523659810075</v>
      </c>
      <c r="J42" s="164">
        <f t="shared" si="28"/>
        <v>35964.229901993094</v>
      </c>
      <c r="K42" s="164">
        <f t="shared" si="28"/>
        <v>33433.339536685176</v>
      </c>
      <c r="L42" s="164">
        <f t="shared" si="28"/>
        <v>31447.017076910739</v>
      </c>
      <c r="M42" s="164">
        <f t="shared" si="28"/>
        <v>29572.460032452174</v>
      </c>
      <c r="N42" s="164">
        <f t="shared" si="28"/>
        <v>27568.820348292542</v>
      </c>
      <c r="O42" s="164">
        <f t="shared" si="28"/>
        <v>25848.040379858077</v>
      </c>
      <c r="P42" s="164">
        <f t="shared" si="28"/>
        <v>24062.269037338847</v>
      </c>
      <c r="Q42" s="164">
        <f t="shared" si="28"/>
        <v>21489.217535313594</v>
      </c>
      <c r="R42" s="164">
        <f t="shared" si="28"/>
        <v>19830.658338951438</v>
      </c>
      <c r="S42" s="164">
        <f t="shared" si="28"/>
        <v>17758.310821011335</v>
      </c>
      <c r="T42" s="164">
        <f t="shared" si="28"/>
        <v>16236.759090921445</v>
      </c>
      <c r="U42" s="164">
        <f t="shared" si="28"/>
        <v>14839.270182314303</v>
      </c>
      <c r="V42" s="164">
        <f t="shared" si="28"/>
        <v>13445.488095760964</v>
      </c>
      <c r="W42" s="164">
        <f t="shared" si="28"/>
        <v>12191.951804297189</v>
      </c>
      <c r="X42" s="164">
        <f t="shared" si="28"/>
        <v>11309.311816960442</v>
      </c>
      <c r="Y42" s="164">
        <f t="shared" si="28"/>
        <v>10483.45334162813</v>
      </c>
      <c r="Z42" s="164">
        <f t="shared" si="28"/>
        <v>9687.7307795879642</v>
      </c>
      <c r="AA42" s="164">
        <f t="shared" si="28"/>
        <v>9062.3234858736178</v>
      </c>
      <c r="AB42" s="164">
        <f t="shared" si="28"/>
        <v>8443.4764284048288</v>
      </c>
      <c r="AC42" s="164">
        <f t="shared" si="28"/>
        <v>7904.3758078951205</v>
      </c>
      <c r="AD42" s="164">
        <f t="shared" si="28"/>
        <v>7525.8270473799266</v>
      </c>
      <c r="AE42" s="164">
        <f t="shared" ref="AE42:AF42" si="29">SUMIF(AE43:AE46,"&lt;1E+307")</f>
        <v>7131.2752606933363</v>
      </c>
      <c r="AF42" s="164">
        <f t="shared" si="29"/>
        <v>6606.3236655993542</v>
      </c>
      <c r="AG42" s="164">
        <f t="shared" ref="AG42" si="30">SUMIF(AG43:AG46,"&lt;1E+307")</f>
        <v>6118.2356179770177</v>
      </c>
      <c r="AH42" s="164">
        <f t="shared" ref="AH42" si="31">SUMIF(AH43:AH46,"&lt;1E+307")</f>
        <v>5909.2398257029581</v>
      </c>
      <c r="AI42" s="164">
        <f t="shared" ref="AI42" si="32">SUMIF(AI43:AI46,"&lt;1E+307")</f>
        <v>5649.8133677704582</v>
      </c>
      <c r="AJ42" s="164">
        <f t="shared" ref="AJ42:AL42" si="33">SUMIF(AJ43:AJ46,"&lt;1E+307")</f>
        <v>5449.2808878491442</v>
      </c>
      <c r="AK42" s="164">
        <f t="shared" si="33"/>
        <v>5277.3098996146073</v>
      </c>
      <c r="AL42" s="164">
        <f t="shared" si="33"/>
        <v>5123.4909507111488</v>
      </c>
    </row>
    <row r="43" spans="2:38" s="149" customFormat="1" ht="18.75" customHeight="1">
      <c r="B43" s="18" t="s">
        <v>19</v>
      </c>
      <c r="C43" s="167">
        <f>SUM('CH4'!C43)</f>
        <v>37191.252</v>
      </c>
      <c r="D43" s="167">
        <f>SUM('CH4'!D43)</f>
        <v>39322.5</v>
      </c>
      <c r="E43" s="167">
        <f>SUM('CH4'!E43)</f>
        <v>40268.116000000002</v>
      </c>
      <c r="F43" s="167">
        <f>SUM('CH4'!F43)</f>
        <v>40154.239999999998</v>
      </c>
      <c r="G43" s="167">
        <f>SUM('CH4'!G43)</f>
        <v>39212.824000000001</v>
      </c>
      <c r="H43" s="167">
        <f>SUM('CH4'!H43)</f>
        <v>37857.175999999999</v>
      </c>
      <c r="I43" s="167">
        <f>SUM('CH4'!I43)</f>
        <v>36060.023999999998</v>
      </c>
      <c r="J43" s="167">
        <f>SUM('CH4'!J43)</f>
        <v>32792.06</v>
      </c>
      <c r="K43" s="167">
        <f>SUM('CH4'!K43)</f>
        <v>30293.144</v>
      </c>
      <c r="L43" s="167">
        <f>SUM('CH4'!L43)</f>
        <v>28232.763999999999</v>
      </c>
      <c r="M43" s="167">
        <f>SUM('CH4'!M43)</f>
        <v>26271.559999999998</v>
      </c>
      <c r="N43" s="167">
        <f>SUM('CH4'!N43)</f>
        <v>24258.471999999998</v>
      </c>
      <c r="O43" s="167">
        <f>SUM('CH4'!O43)</f>
        <v>22439.396000000001</v>
      </c>
      <c r="P43" s="167">
        <f>SUM('CH4'!P43)</f>
        <v>20668.2</v>
      </c>
      <c r="Q43" s="167">
        <f>SUM('CH4'!Q43)</f>
        <v>18093.683999999997</v>
      </c>
      <c r="R43" s="167">
        <f>SUM('CH4'!R43)</f>
        <v>16360.596</v>
      </c>
      <c r="S43" s="167">
        <f>SUM('CH4'!S43)</f>
        <v>14511.195999999998</v>
      </c>
      <c r="T43" s="167">
        <f>SUM('CH4'!T43)</f>
        <v>12969.46</v>
      </c>
      <c r="U43" s="167">
        <f>SUM('CH4'!U43)</f>
        <v>11613.616</v>
      </c>
      <c r="V43" s="167">
        <f>SUM('CH4'!V43)</f>
        <v>10232.348</v>
      </c>
      <c r="W43" s="167">
        <f>SUM('CH4'!W43)</f>
        <v>9015.1880000000001</v>
      </c>
      <c r="X43" s="167">
        <f>SUM('CH4'!X43)</f>
        <v>8067.5279999999993</v>
      </c>
      <c r="Y43" s="167">
        <f>SUM('CH4'!Y43)</f>
        <v>7233.2399999999989</v>
      </c>
      <c r="Z43" s="167">
        <f>SUM('CH4'!Z43)</f>
        <v>6471.2479999999996</v>
      </c>
      <c r="AA43" s="167">
        <f>SUM('CH4'!AA43)</f>
        <v>5796.616</v>
      </c>
      <c r="AB43" s="167">
        <f>SUM('CH4'!AB43)</f>
        <v>5191.8440000000001</v>
      </c>
      <c r="AC43" s="167">
        <f>SUM('CH4'!AC43)</f>
        <v>4657.1840000000002</v>
      </c>
      <c r="AD43" s="167">
        <f>SUM('CH4'!AD43)</f>
        <v>4284.1399999999994</v>
      </c>
      <c r="AE43" s="167">
        <f>SUM('CH4'!AE43)</f>
        <v>3944.5839999999998</v>
      </c>
      <c r="AF43" s="167">
        <f>SUM('CH4'!AF43)</f>
        <v>3426.7239999999997</v>
      </c>
      <c r="AG43" s="167">
        <f>SUM('CH4'!AG43)</f>
        <v>2973.096</v>
      </c>
      <c r="AH43" s="167">
        <f>SUM('CH4'!AH43)</f>
        <v>2685.5079999999998</v>
      </c>
      <c r="AI43" s="167">
        <f>SUM('CH4'!AI43)</f>
        <v>2431.9007999999999</v>
      </c>
      <c r="AJ43" s="167">
        <f>SUM('CH4'!AJ43)</f>
        <v>2203.88</v>
      </c>
      <c r="AK43" s="167">
        <f>SUM('CH4'!AK43)</f>
        <v>1997.1559999999999</v>
      </c>
      <c r="AL43" s="167">
        <f>SUM('CH4'!AL43)</f>
        <v>1845.8999999999999</v>
      </c>
    </row>
    <row r="44" spans="2:38" s="149" customFormat="1" ht="18.75" customHeight="1">
      <c r="B44" s="89" t="s">
        <v>71</v>
      </c>
      <c r="C44" s="166">
        <f>SUM('CH4'!C44,N2O!C44)</f>
        <v>79.06027499999999</v>
      </c>
      <c r="D44" s="166">
        <f>SUM('CH4'!D44,N2O!D44)</f>
        <v>94.402664999999985</v>
      </c>
      <c r="E44" s="166">
        <f>SUM('CH4'!E44,N2O!E44)</f>
        <v>109.74505500000001</v>
      </c>
      <c r="F44" s="166">
        <f>SUM('CH4'!F44,N2O!F44)</f>
        <v>125.087445</v>
      </c>
      <c r="G44" s="166">
        <f>SUM('CH4'!G44,N2O!G44)</f>
        <v>197.39847739499999</v>
      </c>
      <c r="H44" s="166">
        <f>SUM('CH4'!H44,N2O!H44)</f>
        <v>269.7094576049999</v>
      </c>
      <c r="I44" s="166">
        <f>SUM('CH4'!I44,N2O!I44)</f>
        <v>342.02049</v>
      </c>
      <c r="J44" s="166">
        <f>SUM('CH4'!J44,N2O!J44)</f>
        <v>376.46258999999998</v>
      </c>
      <c r="K44" s="166">
        <f>SUM('CH4'!K44,N2O!K44)</f>
        <v>414.84682896499999</v>
      </c>
      <c r="L44" s="166">
        <f>SUM('CH4'!L44,N2O!L44)</f>
        <v>481.31689241999993</v>
      </c>
      <c r="M44" s="166">
        <f>SUM('CH4'!M44,N2O!M44)</f>
        <v>553.92136240000002</v>
      </c>
      <c r="N44" s="166">
        <f>SUM('CH4'!N44,N2O!N44)</f>
        <v>566.30654673999993</v>
      </c>
      <c r="O44" s="166">
        <f>SUM('CH4'!O44,N2O!O44)</f>
        <v>677.13171874999989</v>
      </c>
      <c r="P44" s="166">
        <f>SUM('CH4'!P44,N2O!P44)</f>
        <v>683.68848792499989</v>
      </c>
      <c r="Q44" s="166">
        <f>SUM('CH4'!Q44,N2O!Q44)</f>
        <v>698.66040886999997</v>
      </c>
      <c r="R44" s="166">
        <f>SUM('CH4'!R44,N2O!R44)</f>
        <v>691.39955536000002</v>
      </c>
      <c r="S44" s="166">
        <f>SUM('CH4'!S44,N2O!S44)</f>
        <v>704.70371102000001</v>
      </c>
      <c r="T44" s="166">
        <f>SUM('CH4'!T44,N2O!T44)</f>
        <v>754.06627033999985</v>
      </c>
      <c r="U44" s="166">
        <f>SUM('CH4'!U44,N2O!U44)</f>
        <v>743.12537782000015</v>
      </c>
      <c r="V44" s="166">
        <f>SUM('CH4'!V44,N2O!V44)</f>
        <v>762.69703759999993</v>
      </c>
      <c r="W44" s="166">
        <f>SUM('CH4'!W44,N2O!W44)</f>
        <v>757.8729616600001</v>
      </c>
      <c r="X44" s="166">
        <f>SUM('CH4'!X44,N2O!X44)</f>
        <v>848.86990367999999</v>
      </c>
      <c r="Y44" s="166">
        <f>SUM('CH4'!Y44,N2O!Y44)</f>
        <v>885.14523103999977</v>
      </c>
      <c r="Z44" s="166">
        <f>SUM('CH4'!Z44,N2O!Z44)</f>
        <v>878.96271961999992</v>
      </c>
      <c r="AA44" s="166">
        <f>SUM('CH4'!AA44,N2O!AA44)</f>
        <v>950.98706046000007</v>
      </c>
      <c r="AB44" s="166">
        <f>SUM('CH4'!AB44,N2O!AB44)</f>
        <v>952.83242503999986</v>
      </c>
      <c r="AC44" s="166">
        <f>SUM('CH4'!AC44,N2O!AC44)</f>
        <v>977.31824433999986</v>
      </c>
      <c r="AD44" s="166">
        <f>SUM('CH4'!AD44,N2O!AD44)</f>
        <v>992.79035799999997</v>
      </c>
      <c r="AE44" s="166">
        <f>SUM('CH4'!AE44,N2O!AE44)</f>
        <v>963.34625699999992</v>
      </c>
      <c r="AF44" s="166">
        <f>SUM('CH4'!AF44,N2O!AF44)</f>
        <v>981.43663149999998</v>
      </c>
      <c r="AG44" s="166">
        <f>SUM('CH4'!AG44,N2O!AG44)</f>
        <v>979.74194749999992</v>
      </c>
      <c r="AH44" s="166">
        <f>SUM('CH4'!AH44,N2O!AH44)</f>
        <v>1058.0991974999999</v>
      </c>
      <c r="AI44" s="166">
        <f>SUM('CH4'!AI44,N2O!AI44)</f>
        <v>1058.8407812249998</v>
      </c>
      <c r="AJ44" s="166">
        <f>SUM('CH4'!AJ44,N2O!AJ44)</f>
        <v>1079.3943274999999</v>
      </c>
      <c r="AK44" s="166">
        <f>SUM('CH4'!AK44,N2O!AK44)</f>
        <v>1112.6117875</v>
      </c>
      <c r="AL44" s="166">
        <f>SUM('CH4'!AL44,N2O!AL44)</f>
        <v>1112.6117875</v>
      </c>
    </row>
    <row r="45" spans="2:38" s="149" customFormat="1" ht="18.75" customHeight="1">
      <c r="B45" s="18" t="s">
        <v>20</v>
      </c>
      <c r="C45" s="167">
        <f>SUM('CH4'!C45,N2O!C45)</f>
        <v>4279.8959346849515</v>
      </c>
      <c r="D45" s="167">
        <f>SUM('CH4'!D45,N2O!D45)</f>
        <v>3679.4842454642421</v>
      </c>
      <c r="E45" s="167">
        <f>SUM('CH4'!E45,N2O!E45)</f>
        <v>3312.6917345792649</v>
      </c>
      <c r="F45" s="167">
        <f>SUM('CH4'!F45,N2O!F45)</f>
        <v>3131.2671263957345</v>
      </c>
      <c r="G45" s="167">
        <f>SUM('CH4'!G45,N2O!G45)</f>
        <v>2921.5954551110235</v>
      </c>
      <c r="H45" s="167">
        <f>SUM('CH4'!H45,N2O!H45)</f>
        <v>2927.3219358980209</v>
      </c>
      <c r="I45" s="167">
        <f>SUM('CH4'!I45,N2O!I45)</f>
        <v>2845.7817558055758</v>
      </c>
      <c r="J45" s="167">
        <f>SUM('CH4'!J45,N2O!J45)</f>
        <v>2761.9543266282208</v>
      </c>
      <c r="K45" s="167">
        <f>SUM('CH4'!K45,N2O!K45)</f>
        <v>2678.7351992246768</v>
      </c>
      <c r="L45" s="167">
        <f>SUM('CH4'!L45,N2O!L45)</f>
        <v>2672.6573888601142</v>
      </c>
      <c r="M45" s="167">
        <f>SUM('CH4'!M45,N2O!M45)</f>
        <v>2665.926183136392</v>
      </c>
      <c r="N45" s="167">
        <f>SUM('CH4'!N45,N2O!N45)</f>
        <v>2653.8036990704168</v>
      </c>
      <c r="O45" s="167">
        <f>SUM('CH4'!O45,N2O!O45)</f>
        <v>2623.8518773580754</v>
      </c>
      <c r="P45" s="167">
        <f>SUM('CH4'!P45,N2O!P45)</f>
        <v>2592.9636234763448</v>
      </c>
      <c r="Q45" s="167">
        <f>SUM('CH4'!Q45,N2O!Q45)</f>
        <v>2563.6624770685953</v>
      </c>
      <c r="R45" s="167">
        <f>SUM('CH4'!R45,N2O!R45)</f>
        <v>2539.2738085914361</v>
      </c>
      <c r="S45" s="167">
        <f>SUM('CH4'!S45,N2O!S45)</f>
        <v>2509.9401820113362</v>
      </c>
      <c r="T45" s="167">
        <f>SUM('CH4'!T45,N2O!T45)</f>
        <v>2480.398340151447</v>
      </c>
      <c r="U45" s="167">
        <f>SUM('CH4'!U45,N2O!U45)</f>
        <v>2447.8572891543017</v>
      </c>
      <c r="V45" s="167">
        <f>SUM('CH4'!V45,N2O!V45)</f>
        <v>2415.0277933509624</v>
      </c>
      <c r="W45" s="167">
        <f>SUM('CH4'!W45,N2O!W45)</f>
        <v>2382.5023084971881</v>
      </c>
      <c r="X45" s="167">
        <f>SUM('CH4'!X45,N2O!X45)</f>
        <v>2353.7194550504428</v>
      </c>
      <c r="Y45" s="167">
        <f>SUM('CH4'!Y45,N2O!Y45)</f>
        <v>2327.7045550581302</v>
      </c>
      <c r="Z45" s="167">
        <f>SUM('CH4'!Z45,N2O!Z45)</f>
        <v>2301.019393987965</v>
      </c>
      <c r="AA45" s="167">
        <f>SUM('CH4'!AA45,N2O!AA45)</f>
        <v>2277.8632152236169</v>
      </c>
      <c r="AB45" s="167">
        <f>SUM('CH4'!AB45,N2O!AB45)</f>
        <v>2262.9020460248303</v>
      </c>
      <c r="AC45" s="167">
        <f>SUM('CH4'!AC45,N2O!AC45)</f>
        <v>2235.2887751851204</v>
      </c>
      <c r="AD45" s="167">
        <f>SUM('CH4'!AD45,N2O!AD45)</f>
        <v>2215.4060624799267</v>
      </c>
      <c r="AE45" s="167">
        <f>SUM('CH4'!AE45,N2O!AE45)</f>
        <v>2190.3116644533366</v>
      </c>
      <c r="AF45" s="167">
        <f>SUM('CH4'!AF45,N2O!AF45)</f>
        <v>2165.3609667793548</v>
      </c>
      <c r="AG45" s="167">
        <f>SUM('CH4'!AG45,N2O!AG45)</f>
        <v>2133.1641466270175</v>
      </c>
      <c r="AH45" s="167">
        <f>SUM('CH4'!AH45,N2O!AH45)</f>
        <v>2134.1726388429588</v>
      </c>
      <c r="AI45" s="167">
        <f>SUM('CH4'!AI45,N2O!AI45)</f>
        <v>2128.970519715459</v>
      </c>
      <c r="AJ45" s="167">
        <f>SUM('CH4'!AJ45,N2O!AJ45)</f>
        <v>2136.8260010491445</v>
      </c>
      <c r="AK45" s="167">
        <f>SUM('CH4'!AK45,N2O!AK45)</f>
        <v>2139.2822603446075</v>
      </c>
      <c r="AL45" s="167">
        <f>SUM('CH4'!AL45,N2O!AL45)</f>
        <v>2137.6400189711499</v>
      </c>
    </row>
    <row r="46" spans="2:38" s="149" customFormat="1" ht="18.75" customHeight="1">
      <c r="B46" s="89" t="s">
        <v>28</v>
      </c>
      <c r="C46" s="166">
        <f>SUM('CH4'!C46,N2O!C46)</f>
        <v>0</v>
      </c>
      <c r="D46" s="166">
        <f>SUM('CH4'!D46,N2O!D46)</f>
        <v>0</v>
      </c>
      <c r="E46" s="166">
        <f>SUM('CH4'!E46,N2O!E46)</f>
        <v>0</v>
      </c>
      <c r="F46" s="166">
        <f>SUM('CH4'!F46,N2O!F46)</f>
        <v>0</v>
      </c>
      <c r="G46" s="166">
        <f>SUM('CH4'!G46,N2O!G46)</f>
        <v>0</v>
      </c>
      <c r="H46" s="166">
        <f>SUM('CH4'!H46,N2O!H46)</f>
        <v>10.446325</v>
      </c>
      <c r="I46" s="166">
        <f>SUM('CH4'!I46,N2O!I46)</f>
        <v>21.697414004500001</v>
      </c>
      <c r="J46" s="166">
        <f>SUM('CH4'!J46,N2O!J46)</f>
        <v>33.752985364875002</v>
      </c>
      <c r="K46" s="166">
        <f>SUM('CH4'!K46,N2O!K46)</f>
        <v>46.613508495499993</v>
      </c>
      <c r="L46" s="166">
        <f>SUM('CH4'!L46,N2O!L46)</f>
        <v>60.278795630624998</v>
      </c>
      <c r="M46" s="166">
        <f>SUM('CH4'!M46,N2O!M46)</f>
        <v>81.052486915784996</v>
      </c>
      <c r="N46" s="166">
        <f>SUM('CH4'!N46,N2O!N46)</f>
        <v>90.238102482127502</v>
      </c>
      <c r="O46" s="166">
        <f>SUM('CH4'!O46,N2O!O46)</f>
        <v>107.66078375000001</v>
      </c>
      <c r="P46" s="166">
        <f>SUM('CH4'!P46,N2O!P46)</f>
        <v>117.4169259375</v>
      </c>
      <c r="Q46" s="166">
        <f>SUM('CH4'!Q46,N2O!Q46)</f>
        <v>133.210649375</v>
      </c>
      <c r="R46" s="166">
        <f>SUM('CH4'!R46,N2O!R46)</f>
        <v>239.38897500000002</v>
      </c>
      <c r="S46" s="166">
        <f>SUM('CH4'!S46,N2O!S46)</f>
        <v>32.470927979999999</v>
      </c>
      <c r="T46" s="166">
        <f>SUM('CH4'!T46,N2O!T46)</f>
        <v>32.834480429999999</v>
      </c>
      <c r="U46" s="166">
        <f>SUM('CH4'!U46,N2O!U46)</f>
        <v>34.671515339999999</v>
      </c>
      <c r="V46" s="166">
        <f>SUM('CH4'!V46,N2O!V46)</f>
        <v>35.415264809999996</v>
      </c>
      <c r="W46" s="166">
        <f>SUM('CH4'!W46,N2O!W46)</f>
        <v>36.388534139999997</v>
      </c>
      <c r="X46" s="166">
        <f>SUM('CH4'!X46,N2O!X46)</f>
        <v>39.194458230000002</v>
      </c>
      <c r="Y46" s="166">
        <f>SUM('CH4'!Y46,N2O!Y46)</f>
        <v>37.363555529999999</v>
      </c>
      <c r="Z46" s="166">
        <f>SUM('CH4'!Z46,N2O!Z46)</f>
        <v>36.500665979999994</v>
      </c>
      <c r="AA46" s="166">
        <f>SUM('CH4'!AA46,N2O!AA46)</f>
        <v>36.857210189999996</v>
      </c>
      <c r="AB46" s="166">
        <f>SUM('CH4'!AB46,N2O!AB46)</f>
        <v>35.897957339999998</v>
      </c>
      <c r="AC46" s="166">
        <f>SUM('CH4'!AC46,N2O!AC46)</f>
        <v>34.584788369999998</v>
      </c>
      <c r="AD46" s="166">
        <f>SUM('CH4'!AD46,N2O!AD46)</f>
        <v>33.490626900000002</v>
      </c>
      <c r="AE46" s="166">
        <f>SUM('CH4'!AE46,N2O!AE46)</f>
        <v>33.033339239999997</v>
      </c>
      <c r="AF46" s="166">
        <f>SUM('CH4'!AF46,N2O!AF46)</f>
        <v>32.802067319999999</v>
      </c>
      <c r="AG46" s="166">
        <f>SUM('CH4'!AG46,N2O!AG46)</f>
        <v>32.233523849999997</v>
      </c>
      <c r="AH46" s="166">
        <f>SUM('CH4'!AH46,N2O!AH46)</f>
        <v>31.459989359999991</v>
      </c>
      <c r="AI46" s="166">
        <f>SUM('CH4'!AI46,N2O!AI46)</f>
        <v>30.10126683</v>
      </c>
      <c r="AJ46" s="166">
        <f>SUM('CH4'!AJ46,N2O!AJ46)</f>
        <v>29.180559299999999</v>
      </c>
      <c r="AK46" s="166">
        <f>SUM('CH4'!AK46,N2O!AK46)</f>
        <v>28.259851769999997</v>
      </c>
      <c r="AL46" s="166">
        <f>SUM('CH4'!AL46,N2O!AL46)</f>
        <v>27.33914424</v>
      </c>
    </row>
    <row r="47" spans="2:38" s="149" customFormat="1" ht="18.75" customHeight="1">
      <c r="B47" s="18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</row>
    <row r="48" spans="2:38" s="10" customFormat="1" ht="18.75" customHeight="1">
      <c r="B48" s="152" t="s">
        <v>124</v>
      </c>
      <c r="C48" s="164">
        <f>SUMIF(C49:C54,"&lt;1E+307")</f>
        <v>36494.891017831374</v>
      </c>
      <c r="D48" s="164">
        <f t="shared" ref="D48:AI48" si="34">SUMIF(D49:D54,"&lt;1E+307")</f>
        <v>-25583.837221463989</v>
      </c>
      <c r="E48" s="164">
        <f t="shared" si="34"/>
        <v>-14689.486010746134</v>
      </c>
      <c r="F48" s="164">
        <f t="shared" si="34"/>
        <v>-29416.753326698978</v>
      </c>
      <c r="G48" s="164">
        <f t="shared" si="34"/>
        <v>-11118.682227227804</v>
      </c>
      <c r="H48" s="164">
        <f t="shared" si="34"/>
        <v>-3917.463711072267</v>
      </c>
      <c r="I48" s="164">
        <f t="shared" si="34"/>
        <v>-21109.426344185089</v>
      </c>
      <c r="J48" s="164">
        <f t="shared" si="34"/>
        <v>-8625.3055778455255</v>
      </c>
      <c r="K48" s="164">
        <f t="shared" si="34"/>
        <v>-12166.011031950522</v>
      </c>
      <c r="L48" s="164">
        <f t="shared" si="34"/>
        <v>-10882.909915770832</v>
      </c>
      <c r="M48" s="164">
        <f t="shared" si="34"/>
        <v>7729.9438176737876</v>
      </c>
      <c r="N48" s="164">
        <f t="shared" si="34"/>
        <v>-22160.183334863039</v>
      </c>
      <c r="O48" s="164">
        <f t="shared" si="34"/>
        <v>-4537.6351534758978</v>
      </c>
      <c r="P48" s="164">
        <f t="shared" si="34"/>
        <v>10863.875231889409</v>
      </c>
      <c r="Q48" s="164">
        <f t="shared" si="34"/>
        <v>13454.039657325433</v>
      </c>
      <c r="R48" s="164">
        <f t="shared" si="34"/>
        <v>11290.395289016089</v>
      </c>
      <c r="S48" s="164">
        <f t="shared" si="34"/>
        <v>19186.08960554588</v>
      </c>
      <c r="T48" s="164">
        <f t="shared" si="34"/>
        <v>21858.055959715155</v>
      </c>
      <c r="U48" s="164">
        <f t="shared" si="34"/>
        <v>-2154.5184634332973</v>
      </c>
      <c r="V48" s="164">
        <f t="shared" si="34"/>
        <v>2816.3762433266375</v>
      </c>
      <c r="W48" s="164">
        <f t="shared" si="34"/>
        <v>11311.690370989581</v>
      </c>
      <c r="X48" s="164">
        <f t="shared" si="34"/>
        <v>10448.599764524341</v>
      </c>
      <c r="Y48" s="164">
        <f t="shared" si="34"/>
        <v>-2203.2854712768062</v>
      </c>
      <c r="Z48" s="164">
        <f t="shared" si="34"/>
        <v>4471.3688629913522</v>
      </c>
      <c r="AA48" s="164">
        <f t="shared" si="34"/>
        <v>13377.027100126305</v>
      </c>
      <c r="AB48" s="164">
        <f t="shared" si="34"/>
        <v>6588.5290255158307</v>
      </c>
      <c r="AC48" s="164">
        <f t="shared" si="34"/>
        <v>11416.125329403769</v>
      </c>
      <c r="AD48" s="164">
        <f t="shared" si="34"/>
        <v>13776.106861827619</v>
      </c>
      <c r="AE48" s="164">
        <f t="shared" si="34"/>
        <v>58185.05198372055</v>
      </c>
      <c r="AF48" s="164">
        <f t="shared" si="34"/>
        <v>41103.493363308575</v>
      </c>
      <c r="AG48" s="164">
        <f t="shared" si="34"/>
        <v>47646.156118114595</v>
      </c>
      <c r="AH48" s="164">
        <f t="shared" si="34"/>
        <v>44948.70366638952</v>
      </c>
      <c r="AI48" s="164">
        <f t="shared" si="34"/>
        <v>57598.980977438965</v>
      </c>
      <c r="AJ48" s="164">
        <f t="shared" ref="AJ48:AL48" si="35">SUMIF(AJ49:AJ54,"&lt;1E+307")</f>
        <v>73270.532084874212</v>
      </c>
      <c r="AK48" s="164">
        <f t="shared" si="35"/>
        <v>57838.852658972981</v>
      </c>
      <c r="AL48" s="164">
        <f t="shared" si="35"/>
        <v>26855.101385108595</v>
      </c>
    </row>
    <row r="49" spans="2:38" s="149" customFormat="1" ht="18.75" customHeight="1">
      <c r="B49" s="18" t="s">
        <v>125</v>
      </c>
      <c r="C49" s="167">
        <f>SUM('CO2'!C49,'CH4'!C49,N2O!C49)</f>
        <v>-26452.615885021791</v>
      </c>
      <c r="D49" s="167">
        <f>SUM('CO2'!D49,'CH4'!D49,N2O!D49)</f>
        <v>-80680.919387734</v>
      </c>
      <c r="E49" s="167">
        <f>SUM('CO2'!E49,'CH4'!E49,N2O!E49)</f>
        <v>-84927.099211570894</v>
      </c>
      <c r="F49" s="167">
        <f>SUM('CO2'!F49,'CH4'!F49,N2O!F49)</f>
        <v>-85099.298646576775</v>
      </c>
      <c r="G49" s="167">
        <f>SUM('CO2'!G49,'CH4'!G49,N2O!G49)</f>
        <v>-77185.941742884432</v>
      </c>
      <c r="H49" s="167">
        <f>SUM('CO2'!H49,'CH4'!H49,N2O!H49)</f>
        <v>-68911.578973030293</v>
      </c>
      <c r="I49" s="167">
        <f>SUM('CO2'!I49,'CH4'!I49,N2O!I49)</f>
        <v>-72827.076716824391</v>
      </c>
      <c r="J49" s="167">
        <f>SUM('CO2'!J49,'CH4'!J49,N2O!J49)</f>
        <v>-72076.44522763128</v>
      </c>
      <c r="K49" s="167">
        <f>SUM('CO2'!K49,'CH4'!K49,N2O!K49)</f>
        <v>-68820.928307663591</v>
      </c>
      <c r="L49" s="167">
        <f>SUM('CO2'!L49,'CH4'!L49,N2O!L49)</f>
        <v>-70777.721484995825</v>
      </c>
      <c r="M49" s="167">
        <f>SUM('CO2'!M49,'CH4'!M49,N2O!M49)</f>
        <v>-52798.302583168501</v>
      </c>
      <c r="N49" s="167">
        <f>SUM('CO2'!N49,'CH4'!N49,N2O!N49)</f>
        <v>-68995.591404264676</v>
      </c>
      <c r="O49" s="167">
        <f>SUM('CO2'!O49,'CH4'!O49,N2O!O49)</f>
        <v>-67516.017653890827</v>
      </c>
      <c r="P49" s="167">
        <f>SUM('CO2'!P49,'CH4'!P49,N2O!P49)</f>
        <v>-34623.083317539036</v>
      </c>
      <c r="Q49" s="167">
        <f>SUM('CO2'!Q49,'CH4'!Q49,N2O!Q49)</f>
        <v>-33964.815972166696</v>
      </c>
      <c r="R49" s="167">
        <f>SUM('CO2'!R49,'CH4'!R49,N2O!R49)</f>
        <v>-33360.217913678578</v>
      </c>
      <c r="S49" s="167">
        <f>SUM('CO2'!S49,'CH4'!S49,N2O!S49)</f>
        <v>-32390.31053378314</v>
      </c>
      <c r="T49" s="167">
        <f>SUM('CO2'!T49,'CH4'!T49,N2O!T49)</f>
        <v>-29501.134861147344</v>
      </c>
      <c r="U49" s="167">
        <f>SUM('CO2'!U49,'CH4'!U49,N2O!U49)</f>
        <v>-49374.642387264728</v>
      </c>
      <c r="V49" s="167">
        <f>SUM('CO2'!V49,'CH4'!V49,N2O!V49)</f>
        <v>-46962.46411084984</v>
      </c>
      <c r="W49" s="167">
        <f>SUM('CO2'!W49,'CH4'!W49,N2O!W49)</f>
        <v>-39760.23924789561</v>
      </c>
      <c r="X49" s="167">
        <f>SUM('CO2'!X49,'CH4'!X49,N2O!X49)</f>
        <v>-44245.549330402922</v>
      </c>
      <c r="Y49" s="167">
        <f>SUM('CO2'!Y49,'CH4'!Y49,N2O!Y49)</f>
        <v>-46666.633759560937</v>
      </c>
      <c r="Z49" s="167">
        <f>SUM('CO2'!Z49,'CH4'!Z49,N2O!Z49)</f>
        <v>-52039.231742676631</v>
      </c>
      <c r="AA49" s="167">
        <f>SUM('CO2'!AA49,'CH4'!AA49,N2O!AA49)</f>
        <v>-42370.634423290197</v>
      </c>
      <c r="AB49" s="167">
        <f>SUM('CO2'!AB49,'CH4'!AB49,N2O!AB49)</f>
        <v>-44897.641986123621</v>
      </c>
      <c r="AC49" s="167">
        <f>SUM('CO2'!AC49,'CH4'!AC49,N2O!AC49)</f>
        <v>-45986.531314825625</v>
      </c>
      <c r="AD49" s="167">
        <f>SUM('CO2'!AD49,'CH4'!AD49,N2O!AD49)</f>
        <v>-42020.313807453589</v>
      </c>
      <c r="AE49" s="167">
        <f>SUM('CO2'!AE49,'CH4'!AE49,N2O!AE49)</f>
        <v>7354.5866350757788</v>
      </c>
      <c r="AF49" s="167">
        <f>SUM('CO2'!AF49,'CH4'!AF49,N2O!AF49)</f>
        <v>-13878.391481419685</v>
      </c>
      <c r="AG49" s="167">
        <f>SUM('CO2'!AG49,'CH4'!AG49,N2O!AG49)</f>
        <v>-1994.1455164383012</v>
      </c>
      <c r="AH49" s="167">
        <f>SUM('CO2'!AH49,'CH4'!AH49,N2O!AH49)</f>
        <v>-4355.2429007463206</v>
      </c>
      <c r="AI49" s="167">
        <f>SUM('CO2'!AI49,'CH4'!AI49,N2O!AI49)</f>
        <v>2645.7656815978044</v>
      </c>
      <c r="AJ49" s="167">
        <f>SUM('CO2'!AJ49,'CH4'!AJ49,N2O!AJ49)</f>
        <v>7484.6120354657687</v>
      </c>
      <c r="AK49" s="167">
        <f>SUM('CO2'!AK49,'CH4'!AK49,N2O!AK49)</f>
        <v>2140.4542624146234</v>
      </c>
      <c r="AL49" s="167">
        <f>SUM('CO2'!AL49,'CH4'!AL49,N2O!AL49)</f>
        <v>-19286.072706862087</v>
      </c>
    </row>
    <row r="50" spans="2:38" s="149" customFormat="1" ht="18.75" customHeight="1">
      <c r="B50" s="89" t="s">
        <v>126</v>
      </c>
      <c r="C50" s="166">
        <f>SUM('CO2'!C50,'CH4'!C50,N2O!C50)</f>
        <v>26746.512538921805</v>
      </c>
      <c r="D50" s="166">
        <f>SUM('CO2'!D50,'CH4'!D50,N2O!D50)</f>
        <v>15678.18925712843</v>
      </c>
      <c r="E50" s="166">
        <f>SUM('CO2'!E50,'CH4'!E50,N2O!E50)</f>
        <v>28916.93655411715</v>
      </c>
      <c r="F50" s="166">
        <f>SUM('CO2'!F50,'CH4'!F50,N2O!F50)</f>
        <v>22168.453358814018</v>
      </c>
      <c r="G50" s="166">
        <f>SUM('CO2'!G50,'CH4'!G50,N2O!G50)</f>
        <v>31852.528164203846</v>
      </c>
      <c r="H50" s="166">
        <f>SUM('CO2'!H50,'CH4'!H50,N2O!H50)</f>
        <v>28094.659739287843</v>
      </c>
      <c r="I50" s="166">
        <f>SUM('CO2'!I50,'CH4'!I50,N2O!I50)</f>
        <v>14778.234217414316</v>
      </c>
      <c r="J50" s="166">
        <f>SUM('CO2'!J50,'CH4'!J50,N2O!J50)</f>
        <v>27038.86335297241</v>
      </c>
      <c r="K50" s="166">
        <f>SUM('CO2'!K50,'CH4'!K50,N2O!K50)</f>
        <v>26498.967849935903</v>
      </c>
      <c r="L50" s="166">
        <f>SUM('CO2'!L50,'CH4'!L50,N2O!L50)</f>
        <v>24328.341297113169</v>
      </c>
      <c r="M50" s="166">
        <f>SUM('CO2'!M50,'CH4'!M50,N2O!M50)</f>
        <v>29917.295680504027</v>
      </c>
      <c r="N50" s="166">
        <f>SUM('CO2'!N50,'CH4'!N50,N2O!N50)</f>
        <v>18164.965637241989</v>
      </c>
      <c r="O50" s="166">
        <f>SUM('CO2'!O50,'CH4'!O50,N2O!O50)</f>
        <v>37929.787478252692</v>
      </c>
      <c r="P50" s="166">
        <f>SUM('CO2'!P50,'CH4'!P50,N2O!P50)</f>
        <v>12621.637701067453</v>
      </c>
      <c r="Q50" s="166">
        <f>SUM('CO2'!Q50,'CH4'!Q50,N2O!Q50)</f>
        <v>23406.109732092918</v>
      </c>
      <c r="R50" s="166">
        <f>SUM('CO2'!R50,'CH4'!R50,N2O!R50)</f>
        <v>22954.94796255762</v>
      </c>
      <c r="S50" s="166">
        <f>SUM('CO2'!S50,'CH4'!S50,N2O!S50)</f>
        <v>28142.49900797661</v>
      </c>
      <c r="T50" s="166">
        <f>SUM('CO2'!T50,'CH4'!T50,N2O!T50)</f>
        <v>33604.451383636537</v>
      </c>
      <c r="U50" s="166">
        <f>SUM('CO2'!U50,'CH4'!U50,N2O!U50)</f>
        <v>13101.292231321784</v>
      </c>
      <c r="V50" s="166">
        <f>SUM('CO2'!V50,'CH4'!V50,N2O!V50)</f>
        <v>15520.246110381437</v>
      </c>
      <c r="W50" s="166">
        <f>SUM('CO2'!W50,'CH4'!W50,N2O!W50)</f>
        <v>19485.43986960925</v>
      </c>
      <c r="X50" s="166">
        <f>SUM('CO2'!X50,'CH4'!X50,N2O!X50)</f>
        <v>22324.020436943691</v>
      </c>
      <c r="Y50" s="166">
        <f>SUM('CO2'!Y50,'CH4'!Y50,N2O!Y50)</f>
        <v>9514.685592011585</v>
      </c>
      <c r="Z50" s="166">
        <f>SUM('CO2'!Z50,'CH4'!Z50,N2O!Z50)</f>
        <v>21069.938597871998</v>
      </c>
      <c r="AA50" s="166">
        <f>SUM('CO2'!AA50,'CH4'!AA50,N2O!AA50)</f>
        <v>20441.744568413225</v>
      </c>
      <c r="AB50" s="166">
        <f>SUM('CO2'!AB50,'CH4'!AB50,N2O!AB50)</f>
        <v>16033.489750644025</v>
      </c>
      <c r="AC50" s="166">
        <f>SUM('CO2'!AC50,'CH4'!AC50,N2O!AC50)</f>
        <v>19750.384458550376</v>
      </c>
      <c r="AD50" s="166">
        <f>SUM('CO2'!AD50,'CH4'!AD50,N2O!AD50)</f>
        <v>24425.707098814473</v>
      </c>
      <c r="AE50" s="166">
        <f>SUM('CO2'!AE50,'CH4'!AE50,N2O!AE50)</f>
        <v>9136.4040605366663</v>
      </c>
      <c r="AF50" s="166">
        <f>SUM('CO2'!AF50,'CH4'!AF50,N2O!AF50)</f>
        <v>19770.791274038449</v>
      </c>
      <c r="AG50" s="166">
        <f>SUM('CO2'!AG50,'CH4'!AG50,N2O!AG50)</f>
        <v>16514.103338873421</v>
      </c>
      <c r="AH50" s="166">
        <f>SUM('CO2'!AH50,'CH4'!AH50,N2O!AH50)</f>
        <v>20010.763633531016</v>
      </c>
      <c r="AI50" s="166">
        <f>SUM('CO2'!AI50,'CH4'!AI50,N2O!AI50)</f>
        <v>15961.248078282824</v>
      </c>
      <c r="AJ50" s="166">
        <f>SUM('CO2'!AJ50,'CH4'!AJ50,N2O!AJ50)</f>
        <v>30585.663660713166</v>
      </c>
      <c r="AK50" s="166">
        <f>SUM('CO2'!AK50,'CH4'!AK50,N2O!AK50)</f>
        <v>17515.525163536215</v>
      </c>
      <c r="AL50" s="166">
        <f>SUM('CO2'!AL50,'CH4'!AL50,N2O!AL50)</f>
        <v>6788.515325211697</v>
      </c>
    </row>
    <row r="51" spans="2:38" s="149" customFormat="1" ht="18.75" customHeight="1">
      <c r="B51" s="18" t="s">
        <v>129</v>
      </c>
      <c r="C51" s="167">
        <f>SUM('CO2'!C51,'CH4'!C51,N2O!C51)</f>
        <v>25182.815228408628</v>
      </c>
      <c r="D51" s="167">
        <f>SUM('CO2'!D51,'CH4'!D51,N2O!D51)</f>
        <v>25615.967501409581</v>
      </c>
      <c r="E51" s="167">
        <f>SUM('CO2'!E51,'CH4'!E51,N2O!E51)</f>
        <v>27551.087983705595</v>
      </c>
      <c r="F51" s="167">
        <f>SUM('CO2'!F51,'CH4'!F51,N2O!F51)</f>
        <v>20718.183556756409</v>
      </c>
      <c r="G51" s="167">
        <f>SUM('CO2'!G51,'CH4'!G51,N2O!G51)</f>
        <v>23946.282767446857</v>
      </c>
      <c r="H51" s="167">
        <f>SUM('CO2'!H51,'CH4'!H51,N2O!H51)</f>
        <v>26862.790393792056</v>
      </c>
      <c r="I51" s="167">
        <f>SUM('CO2'!I51,'CH4'!I51,N2O!I51)</f>
        <v>26422.371759910016</v>
      </c>
      <c r="J51" s="167">
        <f>SUM('CO2'!J51,'CH4'!J51,N2O!J51)</f>
        <v>26936.987923046683</v>
      </c>
      <c r="K51" s="167">
        <f>SUM('CO2'!K51,'CH4'!K51,N2O!K51)</f>
        <v>22056.333807854113</v>
      </c>
      <c r="L51" s="167">
        <f>SUM('CO2'!L51,'CH4'!L51,N2O!L51)</f>
        <v>27279.278600824775</v>
      </c>
      <c r="M51" s="167">
        <f>SUM('CO2'!M51,'CH4'!M51,N2O!M51)</f>
        <v>24805.183174954571</v>
      </c>
      <c r="N51" s="167">
        <f>SUM('CO2'!N51,'CH4'!N51,N2O!N51)</f>
        <v>21253.770628199156</v>
      </c>
      <c r="O51" s="167">
        <f>SUM('CO2'!O51,'CH4'!O51,N2O!O51)</f>
        <v>20118.305844308616</v>
      </c>
      <c r="P51" s="167">
        <f>SUM('CO2'!P51,'CH4'!P51,N2O!P51)</f>
        <v>27876.674239664218</v>
      </c>
      <c r="Q51" s="167">
        <f>SUM('CO2'!Q51,'CH4'!Q51,N2O!Q51)</f>
        <v>23243.49147442657</v>
      </c>
      <c r="R51" s="167">
        <f>SUM('CO2'!R51,'CH4'!R51,N2O!R51)</f>
        <v>23460.742870351918</v>
      </c>
      <c r="S51" s="167">
        <f>SUM('CO2'!S51,'CH4'!S51,N2O!S51)</f>
        <v>25426.72517645076</v>
      </c>
      <c r="T51" s="167">
        <f>SUM('CO2'!T51,'CH4'!T51,N2O!T51)</f>
        <v>20582.689145111115</v>
      </c>
      <c r="U51" s="167">
        <f>SUM('CO2'!U51,'CH4'!U51,N2O!U51)</f>
        <v>25609.125632255302</v>
      </c>
      <c r="V51" s="167">
        <f>SUM('CO2'!V51,'CH4'!V51,N2O!V51)</f>
        <v>25547.380287351778</v>
      </c>
      <c r="W51" s="167">
        <f>SUM('CO2'!W51,'CH4'!W51,N2O!W51)</f>
        <v>22016.707936989995</v>
      </c>
      <c r="X51" s="167">
        <f>SUM('CO2'!X51,'CH4'!X51,N2O!X51)</f>
        <v>21866.223508311639</v>
      </c>
      <c r="Y51" s="167">
        <f>SUM('CO2'!Y51,'CH4'!Y51,N2O!Y51)</f>
        <v>23362.53566898674</v>
      </c>
      <c r="Z51" s="167">
        <f>SUM('CO2'!Z51,'CH4'!Z51,N2O!Z51)</f>
        <v>22515.568860988584</v>
      </c>
      <c r="AA51" s="167">
        <f>SUM('CO2'!AA51,'CH4'!AA51,N2O!AA51)</f>
        <v>22789.337153229382</v>
      </c>
      <c r="AB51" s="167">
        <f>SUM('CO2'!AB51,'CH4'!AB51,N2O!AB51)</f>
        <v>22894.981708677224</v>
      </c>
      <c r="AC51" s="167">
        <f>SUM('CO2'!AC51,'CH4'!AC51,N2O!AC51)</f>
        <v>24853.047372395533</v>
      </c>
      <c r="AD51" s="167">
        <f>SUM('CO2'!AD51,'CH4'!AD51,N2O!AD51)</f>
        <v>20331.177250438497</v>
      </c>
      <c r="AE51" s="167">
        <f>SUM('CO2'!AE51,'CH4'!AE51,N2O!AE51)</f>
        <v>30031.559033933048</v>
      </c>
      <c r="AF51" s="167">
        <f>SUM('CO2'!AF51,'CH4'!AF51,N2O!AF51)</f>
        <v>26404.806787015284</v>
      </c>
      <c r="AG51" s="167">
        <f>SUM('CO2'!AG51,'CH4'!AG51,N2O!AG51)</f>
        <v>26308.503144581155</v>
      </c>
      <c r="AH51" s="167">
        <f>SUM('CO2'!AH51,'CH4'!AH51,N2O!AH51)</f>
        <v>23468.632101684208</v>
      </c>
      <c r="AI51" s="167">
        <f>SUM('CO2'!AI51,'CH4'!AI51,N2O!AI51)</f>
        <v>28335.543771468194</v>
      </c>
      <c r="AJ51" s="167">
        <f>SUM('CO2'!AJ51,'CH4'!AJ51,N2O!AJ51)</f>
        <v>23140.438758087701</v>
      </c>
      <c r="AK51" s="167">
        <f>SUM('CO2'!AK51,'CH4'!AK51,N2O!AK51)</f>
        <v>24178.409665946656</v>
      </c>
      <c r="AL51" s="167">
        <f>SUM('CO2'!AL51,'CH4'!AL51,N2O!AL51)</f>
        <v>26687.258580800419</v>
      </c>
    </row>
    <row r="52" spans="2:38" s="149" customFormat="1" ht="18.75" customHeight="1">
      <c r="B52" s="89" t="s">
        <v>130</v>
      </c>
      <c r="C52" s="166">
        <f>SUM('CO2'!C52,'CH4'!C52,N2O!C52)</f>
        <v>8981.6557975575979</v>
      </c>
      <c r="D52" s="166">
        <f>SUM('CO2'!D52,'CH4'!D52,N2O!D52)</f>
        <v>9253.3979549556989</v>
      </c>
      <c r="E52" s="166">
        <f>SUM('CO2'!E52,'CH4'!E52,N2O!E52)</f>
        <v>9647.9451771695985</v>
      </c>
      <c r="F52" s="166">
        <f>SUM('CO2'!F52,'CH4'!F52,N2O!F52)</f>
        <v>8550.3023522914991</v>
      </c>
      <c r="G52" s="166">
        <f>SUM('CO2'!G52,'CH4'!G52,N2O!G52)</f>
        <v>9119.6962647308501</v>
      </c>
      <c r="H52" s="166">
        <f>SUM('CO2'!H52,'CH4'!H52,N2O!H52)</f>
        <v>9270.9377469498486</v>
      </c>
      <c r="I52" s="166">
        <f>SUM('CO2'!I52,'CH4'!I52,N2O!I52)</f>
        <v>9521.1167205532984</v>
      </c>
      <c r="J52" s="166">
        <f>SUM('CO2'!J52,'CH4'!J52,N2O!J52)</f>
        <v>9412.1087968515003</v>
      </c>
      <c r="K52" s="166">
        <f>SUM('CO2'!K52,'CH4'!K52,N2O!K52)</f>
        <v>8573.8163410176003</v>
      </c>
      <c r="L52" s="166">
        <f>SUM('CO2'!L52,'CH4'!L52,N2O!L52)</f>
        <v>9695.1967820759473</v>
      </c>
      <c r="M52" s="166">
        <f>SUM('CO2'!M52,'CH4'!M52,N2O!M52)</f>
        <v>9394.8092783604498</v>
      </c>
      <c r="N52" s="166">
        <f>SUM('CO2'!N52,'CH4'!N52,N2O!N52)</f>
        <v>8919.4249162325505</v>
      </c>
      <c r="O52" s="166">
        <f>SUM('CO2'!O52,'CH4'!O52,N2O!O52)</f>
        <v>8421.1629603678484</v>
      </c>
      <c r="P52" s="166">
        <f>SUM('CO2'!P52,'CH4'!P52,N2O!P52)</f>
        <v>9987.108663665349</v>
      </c>
      <c r="Q52" s="166">
        <f>SUM('CO2'!Q52,'CH4'!Q52,N2O!Q52)</f>
        <v>9020.9063931267465</v>
      </c>
      <c r="R52" s="166">
        <f>SUM('CO2'!R52,'CH4'!R52,N2O!R52)</f>
        <v>9194.0118657823477</v>
      </c>
      <c r="S52" s="166">
        <f>SUM('CO2'!S52,'CH4'!S52,N2O!S52)</f>
        <v>9676.1947598698025</v>
      </c>
      <c r="T52" s="166">
        <f>SUM('CO2'!T52,'CH4'!T52,N2O!T52)</f>
        <v>8797.6311917471485</v>
      </c>
      <c r="U52" s="166">
        <f>SUM('CO2'!U52,'CH4'!U52,N2O!U52)</f>
        <v>9322.6431689858764</v>
      </c>
      <c r="V52" s="166">
        <f>SUM('CO2'!V52,'CH4'!V52,N2O!V52)</f>
        <v>9504.1909421680266</v>
      </c>
      <c r="W52" s="166">
        <f>SUM('CO2'!W52,'CH4'!W52,N2O!W52)</f>
        <v>8921.9270679378769</v>
      </c>
      <c r="X52" s="166">
        <f>SUM('CO2'!X52,'CH4'!X52,N2O!X52)</f>
        <v>9224.9385221312259</v>
      </c>
      <c r="Y52" s="166">
        <f>SUM('CO2'!Y52,'CH4'!Y52,N2O!Y52)</f>
        <v>9274.4287732912744</v>
      </c>
      <c r="Z52" s="166">
        <f>SUM('CO2'!Z52,'CH4'!Z52,N2O!Z52)</f>
        <v>9222.6105754909258</v>
      </c>
      <c r="AA52" s="166">
        <f>SUM('CO2'!AA52,'CH4'!AA52,N2O!AA52)</f>
        <v>9237.6297871020397</v>
      </c>
      <c r="AB52" s="166">
        <f>SUM('CO2'!AB52,'CH4'!AB52,N2O!AB52)</f>
        <v>9187.3856929175799</v>
      </c>
      <c r="AC52" s="166">
        <f>SUM('CO2'!AC52,'CH4'!AC52,N2O!AC52)</f>
        <v>9663.4525927081395</v>
      </c>
      <c r="AD52" s="166">
        <f>SUM('CO2'!AD52,'CH4'!AD52,N2O!AD52)</f>
        <v>8786.2808182750887</v>
      </c>
      <c r="AE52" s="166">
        <f>SUM('CO2'!AE52,'CH4'!AE52,N2O!AE52)</f>
        <v>10913.908337268504</v>
      </c>
      <c r="AF52" s="166">
        <f>SUM('CO2'!AF52,'CH4'!AF52,N2O!AF52)</f>
        <v>9836.4013003698765</v>
      </c>
      <c r="AG52" s="166">
        <f>SUM('CO2'!AG52,'CH4'!AG52,N2O!AG52)</f>
        <v>10030.485026218073</v>
      </c>
      <c r="AH52" s="166">
        <f>SUM('CO2'!AH52,'CH4'!AH52,N2O!AH52)</f>
        <v>9552.4330067838746</v>
      </c>
      <c r="AI52" s="166">
        <f>SUM('CO2'!AI52,'CH4'!AI52,N2O!AI52)</f>
        <v>10610.077345693526</v>
      </c>
      <c r="AJ52" s="166">
        <f>SUM('CO2'!AJ52,'CH4'!AJ52,N2O!AJ52)</f>
        <v>8953.8156070265741</v>
      </c>
      <c r="AK52" s="166">
        <f>SUM('CO2'!AK52,'CH4'!AK52,N2O!AK52)</f>
        <v>8952.6749016951235</v>
      </c>
      <c r="AL52" s="166">
        <f>SUM('CO2'!AL52,'CH4'!AL52,N2O!AL52)</f>
        <v>9964.6970431353184</v>
      </c>
    </row>
    <row r="53" spans="2:38" s="149" customFormat="1" ht="18.75" customHeight="1">
      <c r="B53" s="18" t="s">
        <v>131</v>
      </c>
      <c r="C53" s="167">
        <f>SUM('CO2'!C53,'CH4'!C53,N2O!C53)</f>
        <v>3331.3813639651339</v>
      </c>
      <c r="D53" s="167">
        <f>SUM('CO2'!D53,'CH4'!D53,N2O!D53)</f>
        <v>3431.4893657763009</v>
      </c>
      <c r="E53" s="167">
        <f>SUM('CO2'!E53,'CH4'!E53,N2O!E53)</f>
        <v>3447.276390832415</v>
      </c>
      <c r="F53" s="167">
        <f>SUM('CO2'!F53,'CH4'!F53,N2O!F53)</f>
        <v>3357.6321000158646</v>
      </c>
      <c r="G53" s="167">
        <f>SUM('CO2'!G53,'CH4'!G53,N2O!G53)</f>
        <v>3463.8425902750746</v>
      </c>
      <c r="H53" s="167">
        <f>SUM('CO2'!H53,'CH4'!H53,N2O!H53)</f>
        <v>3515.9133399282746</v>
      </c>
      <c r="I53" s="167">
        <f>SUM('CO2'!I53,'CH4'!I53,N2O!I53)</f>
        <v>3614.8888267616735</v>
      </c>
      <c r="J53" s="167">
        <f>SUM('CO2'!J53,'CH4'!J53,N2O!J53)</f>
        <v>3662.0202279151608</v>
      </c>
      <c r="K53" s="167">
        <f>SUM('CO2'!K53,'CH4'!K53,N2O!K53)</f>
        <v>3506.2449789054558</v>
      </c>
      <c r="L53" s="167">
        <f>SUM('CO2'!L53,'CH4'!L53,N2O!L53)</f>
        <v>3740.3098232111024</v>
      </c>
      <c r="M53" s="167">
        <f>SUM('CO2'!M53,'CH4'!M53,N2O!M53)</f>
        <v>3706.4645520232402</v>
      </c>
      <c r="N53" s="167">
        <f>SUM('CO2'!N53,'CH4'!N53,N2O!N53)</f>
        <v>3751.0398227279456</v>
      </c>
      <c r="O53" s="167">
        <f>SUM('CO2'!O53,'CH4'!O53,N2O!O53)</f>
        <v>3723.3105014857742</v>
      </c>
      <c r="P53" s="167">
        <f>SUM('CO2'!P53,'CH4'!P53,N2O!P53)</f>
        <v>3890.1491410314247</v>
      </c>
      <c r="Q53" s="167">
        <f>SUM('CO2'!Q53,'CH4'!Q53,N2O!Q53)</f>
        <v>4009.3821908458958</v>
      </c>
      <c r="R53" s="167">
        <f>SUM('CO2'!R53,'CH4'!R53,N2O!R53)</f>
        <v>4007.336352002776</v>
      </c>
      <c r="S53" s="167">
        <f>SUM('CO2'!S53,'CH4'!S53,N2O!S53)</f>
        <v>4136.4302590318503</v>
      </c>
      <c r="T53" s="167">
        <f>SUM('CO2'!T53,'CH4'!T53,N2O!T53)</f>
        <v>4038.2092843677037</v>
      </c>
      <c r="U53" s="167">
        <f>SUM('CO2'!U53,'CH4'!U53,N2O!U53)</f>
        <v>4268.9398722684655</v>
      </c>
      <c r="V53" s="167">
        <f>SUM('CO2'!V53,'CH4'!V53,N2O!V53)</f>
        <v>4332.6032322752371</v>
      </c>
      <c r="W53" s="167">
        <f>SUM('CO2'!W53,'CH4'!W53,N2O!W53)</f>
        <v>4228.66123934807</v>
      </c>
      <c r="X53" s="167">
        <f>SUM('CO2'!X53,'CH4'!X53,N2O!X53)</f>
        <v>4469.0697495407085</v>
      </c>
      <c r="Y53" s="167">
        <f>SUM('CO2'!Y53,'CH4'!Y53,N2O!Y53)</f>
        <v>4579.1752149945305</v>
      </c>
      <c r="Z53" s="167">
        <f>SUM('CO2'!Z53,'CH4'!Z53,N2O!Z53)</f>
        <v>4780.1889013164755</v>
      </c>
      <c r="AA53" s="167">
        <f>SUM('CO2'!AA53,'CH4'!AA53,N2O!AA53)</f>
        <v>4995.9418746718538</v>
      </c>
      <c r="AB53" s="167">
        <f>SUM('CO2'!AB53,'CH4'!AB53,N2O!AB53)</f>
        <v>4904.3581274006237</v>
      </c>
      <c r="AC53" s="167">
        <f>SUM('CO2'!AC53,'CH4'!AC53,N2O!AC53)</f>
        <v>4611.1459485753458</v>
      </c>
      <c r="AD53" s="167">
        <f>SUM('CO2'!AD53,'CH4'!AD53,N2O!AD53)</f>
        <v>4531.0701327531478</v>
      </c>
      <c r="AE53" s="167">
        <f>SUM('CO2'!AE53,'CH4'!AE53,N2O!AE53)</f>
        <v>5375.9900549065514</v>
      </c>
      <c r="AF53" s="167">
        <f>SUM('CO2'!AF53,'CH4'!AF53,N2O!AF53)</f>
        <v>4739.8045533046497</v>
      </c>
      <c r="AG53" s="167">
        <f>SUM('CO2'!AG53,'CH4'!AG53,N2O!AG53)</f>
        <v>4842.2384638802487</v>
      </c>
      <c r="AH53" s="167">
        <f>SUM('CO2'!AH53,'CH4'!AH53,N2O!AH53)</f>
        <v>4499.7448211367455</v>
      </c>
      <c r="AI53" s="167">
        <f>SUM('CO2'!AI53,'CH4'!AI53,N2O!AI53)</f>
        <v>4713.0187663966162</v>
      </c>
      <c r="AJ53" s="167">
        <f>SUM('CO2'!AJ53,'CH4'!AJ53,N2O!AJ53)</f>
        <v>4520.5461145810177</v>
      </c>
      <c r="AK53" s="167">
        <f>SUM('CO2'!AK53,'CH4'!AK53,N2O!AK53)</f>
        <v>4644.1660643803652</v>
      </c>
      <c r="AL53" s="167">
        <f>SUM('CO2'!AL53,'CH4'!AL53,N2O!AL53)</f>
        <v>4440.8043908232457</v>
      </c>
    </row>
    <row r="54" spans="2:38" s="149" customFormat="1" ht="18.75" customHeight="1">
      <c r="B54" s="89" t="s">
        <v>127</v>
      </c>
      <c r="C54" s="166">
        <f>SUM('CO2'!C54,'CH4'!C54,N2O!C54)</f>
        <v>-1294.8580260000001</v>
      </c>
      <c r="D54" s="166">
        <f>SUM('CO2'!D54,'CH4'!D54,N2O!D54)</f>
        <v>1118.0380869999999</v>
      </c>
      <c r="E54" s="166">
        <f>SUM('CO2'!E54,'CH4'!E54,N2O!E54)</f>
        <v>674.36709499999984</v>
      </c>
      <c r="F54" s="166">
        <f>SUM('CO2'!F54,'CH4'!F54,N2O!F54)</f>
        <v>887.97395199999971</v>
      </c>
      <c r="G54" s="166">
        <f>SUM('CO2'!G54,'CH4'!G54,N2O!G54)</f>
        <v>-2315.090271</v>
      </c>
      <c r="H54" s="166">
        <f>SUM('CO2'!H54,'CH4'!H54,N2O!H54)</f>
        <v>-2750.185958</v>
      </c>
      <c r="I54" s="166">
        <f>SUM('CO2'!I54,'CH4'!I54,N2O!I54)</f>
        <v>-2618.9611519999999</v>
      </c>
      <c r="J54" s="166">
        <f>SUM('CO2'!J54,'CH4'!J54,N2O!J54)</f>
        <v>-3598.8406509999995</v>
      </c>
      <c r="K54" s="166">
        <f>SUM('CO2'!K54,'CH4'!K54,N2O!K54)</f>
        <v>-3980.4457019999995</v>
      </c>
      <c r="L54" s="166">
        <f>SUM('CO2'!L54,'CH4'!L54,N2O!L54)</f>
        <v>-5148.314934</v>
      </c>
      <c r="M54" s="166">
        <f>SUM('CO2'!M54,'CH4'!M54,N2O!M54)</f>
        <v>-7295.5062849999995</v>
      </c>
      <c r="N54" s="166">
        <f>SUM('CO2'!N54,'CH4'!N54,N2O!N54)</f>
        <v>-5253.7929349999986</v>
      </c>
      <c r="O54" s="166">
        <f>SUM('CO2'!O54,'CH4'!O54,N2O!O54)</f>
        <v>-7214.1842840000008</v>
      </c>
      <c r="P54" s="166">
        <f>SUM('CO2'!P54,'CH4'!P54,N2O!P54)</f>
        <v>-8888.6111959999998</v>
      </c>
      <c r="Q54" s="166">
        <f>SUM('CO2'!Q54,'CH4'!Q54,N2O!Q54)</f>
        <v>-12261.034161</v>
      </c>
      <c r="R54" s="166">
        <f>SUM('CO2'!R54,'CH4'!R54,N2O!R54)</f>
        <v>-14966.425847999997</v>
      </c>
      <c r="S54" s="166">
        <f>SUM('CO2'!S54,'CH4'!S54,N2O!S54)</f>
        <v>-15805.449063999999</v>
      </c>
      <c r="T54" s="166">
        <f>SUM('CO2'!T54,'CH4'!T54,N2O!T54)</f>
        <v>-15663.790184000001</v>
      </c>
      <c r="U54" s="166">
        <f>SUM('CO2'!U54,'CH4'!U54,N2O!U54)</f>
        <v>-5081.8769809999985</v>
      </c>
      <c r="V54" s="166">
        <f>SUM('CO2'!V54,'CH4'!V54,N2O!V54)</f>
        <v>-5125.5802179999991</v>
      </c>
      <c r="W54" s="166">
        <f>SUM('CO2'!W54,'CH4'!W54,N2O!W54)</f>
        <v>-3580.8064950000007</v>
      </c>
      <c r="X54" s="166">
        <f>SUM('CO2'!X54,'CH4'!X54,N2O!X54)</f>
        <v>-3190.103122</v>
      </c>
      <c r="Y54" s="166">
        <f>SUM('CO2'!Y54,'CH4'!Y54,N2O!Y54)</f>
        <v>-2267.4769609999998</v>
      </c>
      <c r="Z54" s="166">
        <f>SUM('CO2'!Z54,'CH4'!Z54,N2O!Z54)</f>
        <v>-1077.7063299999998</v>
      </c>
      <c r="AA54" s="166">
        <f>SUM('CO2'!AA54,'CH4'!AA54,N2O!AA54)</f>
        <v>-1716.9918599999999</v>
      </c>
      <c r="AB54" s="166">
        <f>SUM('CO2'!AB54,'CH4'!AB54,N2O!AB54)</f>
        <v>-1534.0442680000003</v>
      </c>
      <c r="AC54" s="166">
        <f>SUM('CO2'!AC54,'CH4'!AC54,N2O!AC54)</f>
        <v>-1475.3737280000003</v>
      </c>
      <c r="AD54" s="166">
        <f>SUM('CO2'!AD54,'CH4'!AD54,N2O!AD54)</f>
        <v>-2277.8146309999993</v>
      </c>
      <c r="AE54" s="166">
        <f>SUM('CO2'!AE54,'CH4'!AE54,N2O!AE54)</f>
        <v>-4627.3961380000001</v>
      </c>
      <c r="AF54" s="166">
        <f>SUM('CO2'!AF54,'CH4'!AF54,N2O!AF54)</f>
        <v>-5769.9190699999999</v>
      </c>
      <c r="AG54" s="166">
        <f>SUM('CO2'!AG54,'CH4'!AG54,N2O!AG54)</f>
        <v>-8055.0283389999995</v>
      </c>
      <c r="AH54" s="166">
        <f>SUM('CO2'!AH54,'CH4'!AH54,N2O!AH54)</f>
        <v>-8227.6269959999991</v>
      </c>
      <c r="AI54" s="166">
        <f>SUM('CO2'!AI54,'CH4'!AI54,N2O!AI54)</f>
        <v>-4666.6726659999986</v>
      </c>
      <c r="AJ54" s="166">
        <f>SUM('CO2'!AJ54,'CH4'!AJ54,N2O!AJ54)</f>
        <v>-1414.5440909999995</v>
      </c>
      <c r="AK54" s="166">
        <f>SUM('CO2'!AK54,'CH4'!AK54,N2O!AK54)</f>
        <v>407.62260099999935</v>
      </c>
      <c r="AL54" s="166">
        <f>SUM('CO2'!AL54,'CH4'!AL54,N2O!AL54)</f>
        <v>-1740.1012480000004</v>
      </c>
    </row>
    <row r="55" spans="2:38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L55"/>
  <sheetViews>
    <sheetView showGridLines="0" zoomScale="70" zoomScaleNormal="70" zoomScalePageLayoutView="150" workbookViewId="0">
      <pane xSplit="2" ySplit="8" topLeftCell="C9" activePane="bottomRight" state="frozen"/>
      <selection activeCell="AM1" sqref="AM1:AT1048576"/>
      <selection pane="topRight" activeCell="AM1" sqref="AM1:AT1048576"/>
      <selection pane="bottomLeft" activeCell="AM1" sqref="AM1:AT1048576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9" customWidth="1"/>
    <col min="34" max="35" width="10.85546875" style="87" customWidth="1"/>
    <col min="36" max="38" width="10.85546875" style="149" customWidth="1"/>
    <col min="39" max="16384" width="11.42578125" style="2"/>
  </cols>
  <sheetData>
    <row r="1" spans="2:38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2:38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2:38" ht="22.5" customHeight="1">
      <c r="B3" s="3" t="s">
        <v>38</v>
      </c>
      <c r="C3" s="23" t="s">
        <v>152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4">
        <v>43831</v>
      </c>
      <c r="AH4" s="154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5"/>
      <c r="AH5" s="141"/>
      <c r="AI5" s="26"/>
      <c r="AJ5" s="165"/>
      <c r="AK5" s="165"/>
      <c r="AL5" s="165"/>
    </row>
    <row r="6" spans="2:38" s="10" customFormat="1" ht="18.75" customHeight="1">
      <c r="B6" s="24" t="s">
        <v>22</v>
      </c>
      <c r="C6" s="25">
        <f t="shared" ref="C6:AH6" si="0">SUM(C9,C14,C21,C26,C32,C42)</f>
        <v>1054795.8567877922</v>
      </c>
      <c r="D6" s="25">
        <f t="shared" si="0"/>
        <v>1016929.571760371</v>
      </c>
      <c r="E6" s="25">
        <f t="shared" si="0"/>
        <v>969464.52703399805</v>
      </c>
      <c r="F6" s="25">
        <f t="shared" si="0"/>
        <v>959385.31065078662</v>
      </c>
      <c r="G6" s="25">
        <f t="shared" si="0"/>
        <v>943226.82139247633</v>
      </c>
      <c r="H6" s="25">
        <f t="shared" si="0"/>
        <v>939932.59916167124</v>
      </c>
      <c r="I6" s="25">
        <f t="shared" si="0"/>
        <v>959689.12170568854</v>
      </c>
      <c r="J6" s="25">
        <f t="shared" si="0"/>
        <v>931507.13543972</v>
      </c>
      <c r="K6" s="25">
        <f t="shared" si="0"/>
        <v>923497.66893947998</v>
      </c>
      <c r="L6" s="25">
        <f t="shared" si="0"/>
        <v>895441.16971639055</v>
      </c>
      <c r="M6" s="25">
        <f t="shared" si="0"/>
        <v>898974.4663910378</v>
      </c>
      <c r="N6" s="25">
        <f t="shared" si="0"/>
        <v>915253.64422054437</v>
      </c>
      <c r="O6" s="25">
        <f t="shared" si="0"/>
        <v>898833.17969091609</v>
      </c>
      <c r="P6" s="25">
        <f t="shared" si="0"/>
        <v>899538.09586480132</v>
      </c>
      <c r="Q6" s="25">
        <f t="shared" si="0"/>
        <v>883451.06391710846</v>
      </c>
      <c r="R6" s="25">
        <f t="shared" si="0"/>
        <v>866909.92751687684</v>
      </c>
      <c r="S6" s="25">
        <f t="shared" si="0"/>
        <v>884925.25897636102</v>
      </c>
      <c r="T6" s="25">
        <f t="shared" si="0"/>
        <v>845671.93677779485</v>
      </c>
      <c r="U6" s="25">
        <f t="shared" si="0"/>
        <v>851006.14500006905</v>
      </c>
      <c r="V6" s="25">
        <f t="shared" si="0"/>
        <v>789244.97431055456</v>
      </c>
      <c r="W6" s="25">
        <f t="shared" si="0"/>
        <v>829787.02606039308</v>
      </c>
      <c r="X6" s="25">
        <f t="shared" si="0"/>
        <v>805770.60156535415</v>
      </c>
      <c r="Y6" s="25">
        <f t="shared" si="0"/>
        <v>814786.86233691708</v>
      </c>
      <c r="Z6" s="25">
        <f t="shared" si="0"/>
        <v>834504.3843373463</v>
      </c>
      <c r="AA6" s="25">
        <f t="shared" si="0"/>
        <v>794687.85329788947</v>
      </c>
      <c r="AB6" s="25">
        <f t="shared" si="0"/>
        <v>798770.58151312813</v>
      </c>
      <c r="AC6" s="25">
        <f t="shared" si="0"/>
        <v>800432.11210139561</v>
      </c>
      <c r="AD6" s="25">
        <f t="shared" si="0"/>
        <v>788560.85234872554</v>
      </c>
      <c r="AE6" s="25">
        <f t="shared" si="0"/>
        <v>758195.20751489699</v>
      </c>
      <c r="AF6" s="25">
        <f t="shared" si="0"/>
        <v>709773.25439592614</v>
      </c>
      <c r="AG6" s="164">
        <f t="shared" si="0"/>
        <v>646682.83549283445</v>
      </c>
      <c r="AH6" s="140">
        <f t="shared" si="0"/>
        <v>679946.26393260248</v>
      </c>
      <c r="AI6" s="164">
        <f t="shared" ref="AI6:AL6" si="1">SUM(AI9,AI14,AI21,AI26,AI32,AI42)</f>
        <v>670016.66381198238</v>
      </c>
      <c r="AJ6" s="164">
        <f t="shared" si="1"/>
        <v>591373.01508470648</v>
      </c>
      <c r="AK6" s="164">
        <f t="shared" si="1"/>
        <v>573924.94487730123</v>
      </c>
      <c r="AL6" s="164">
        <f t="shared" si="1"/>
        <v>573544.7383271124</v>
      </c>
    </row>
    <row r="7" spans="2:38" s="10" customFormat="1" ht="18.75" customHeight="1">
      <c r="B7" s="22" t="s">
        <v>23</v>
      </c>
      <c r="C7" s="26">
        <f t="shared" ref="C7:AH7" si="2">SUM(C9,C14,C21,C26,C32,C42,C48)</f>
        <v>1081618.0362941124</v>
      </c>
      <c r="D7" s="26">
        <f t="shared" si="2"/>
        <v>982470.44604454678</v>
      </c>
      <c r="E7" s="26">
        <f t="shared" si="2"/>
        <v>946419.90846838977</v>
      </c>
      <c r="F7" s="26">
        <f t="shared" si="2"/>
        <v>918883.57593578997</v>
      </c>
      <c r="G7" s="26">
        <f t="shared" si="2"/>
        <v>922548.12730563898</v>
      </c>
      <c r="H7" s="26">
        <f t="shared" si="2"/>
        <v>926712.20200169447</v>
      </c>
      <c r="I7" s="26">
        <f t="shared" si="2"/>
        <v>929776.02165416675</v>
      </c>
      <c r="J7" s="26">
        <f t="shared" si="2"/>
        <v>914223.74015666987</v>
      </c>
      <c r="K7" s="26">
        <f t="shared" si="2"/>
        <v>899780.19605662918</v>
      </c>
      <c r="L7" s="26">
        <f t="shared" si="2"/>
        <v>875423.8222752203</v>
      </c>
      <c r="M7" s="26">
        <f t="shared" si="2"/>
        <v>897408.35552934278</v>
      </c>
      <c r="N7" s="26">
        <f t="shared" si="2"/>
        <v>882468.94824533677</v>
      </c>
      <c r="O7" s="26">
        <f t="shared" si="2"/>
        <v>883287.47440969746</v>
      </c>
      <c r="P7" s="26">
        <f t="shared" si="2"/>
        <v>902515.51219036221</v>
      </c>
      <c r="Q7" s="26">
        <f t="shared" si="2"/>
        <v>887461.39532875817</v>
      </c>
      <c r="R7" s="26">
        <f t="shared" si="2"/>
        <v>869064.68337186903</v>
      </c>
      <c r="S7" s="26">
        <f t="shared" si="2"/>
        <v>895737.0566635509</v>
      </c>
      <c r="T7" s="26">
        <f t="shared" si="2"/>
        <v>857007.4152029627</v>
      </c>
      <c r="U7" s="26">
        <f t="shared" si="2"/>
        <v>840171.57356701721</v>
      </c>
      <c r="V7" s="26">
        <f t="shared" si="2"/>
        <v>783503.42565564683</v>
      </c>
      <c r="W7" s="26">
        <f t="shared" si="2"/>
        <v>831510.95760996139</v>
      </c>
      <c r="X7" s="26">
        <f t="shared" si="2"/>
        <v>806762.90606571233</v>
      </c>
      <c r="Y7" s="26">
        <f t="shared" si="2"/>
        <v>803705.00125662657</v>
      </c>
      <c r="Z7" s="26">
        <f t="shared" si="2"/>
        <v>829931.88395856961</v>
      </c>
      <c r="AA7" s="26">
        <f t="shared" si="2"/>
        <v>799293.20223247248</v>
      </c>
      <c r="AB7" s="26">
        <f t="shared" si="2"/>
        <v>796508.14528561465</v>
      </c>
      <c r="AC7" s="26">
        <f t="shared" si="2"/>
        <v>803345.00317438226</v>
      </c>
      <c r="AD7" s="26">
        <f t="shared" si="2"/>
        <v>792052.85809463752</v>
      </c>
      <c r="AE7" s="26">
        <f t="shared" si="2"/>
        <v>808986.16430334421</v>
      </c>
      <c r="AF7" s="26">
        <f t="shared" si="2"/>
        <v>742429.65997445956</v>
      </c>
      <c r="AG7" s="165">
        <f t="shared" si="2"/>
        <v>686157.95832810295</v>
      </c>
      <c r="AH7" s="141">
        <f t="shared" si="2"/>
        <v>715588.15439641639</v>
      </c>
      <c r="AI7" s="165">
        <f t="shared" ref="AI7:AL7" si="3">SUM(AI9,AI14,AI21,AI26,AI32,AI42,AI48)</f>
        <v>719866.75204448448</v>
      </c>
      <c r="AJ7" s="165">
        <f t="shared" si="3"/>
        <v>654005.10396557313</v>
      </c>
      <c r="AK7" s="165">
        <f t="shared" si="3"/>
        <v>622131.97392947075</v>
      </c>
      <c r="AL7" s="165">
        <f t="shared" si="3"/>
        <v>592359.93598367006</v>
      </c>
    </row>
    <row r="8" spans="2:38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6"/>
      <c r="AH8" s="142"/>
      <c r="AI8" s="90"/>
      <c r="AJ8" s="166"/>
      <c r="AK8" s="166"/>
      <c r="AL8" s="166"/>
    </row>
    <row r="9" spans="2:38" s="10" customFormat="1" ht="18.75" customHeight="1">
      <c r="B9" s="5" t="s">
        <v>8</v>
      </c>
      <c r="C9" s="26">
        <f t="shared" ref="C9:AF9" si="4">SUMIF(C10:C12,"&lt;1E+307")</f>
        <v>432876.64310047706</v>
      </c>
      <c r="D9" s="26">
        <f t="shared" si="4"/>
        <v>419005.91959233559</v>
      </c>
      <c r="E9" s="26">
        <f t="shared" si="4"/>
        <v>397359.70690318284</v>
      </c>
      <c r="F9" s="26">
        <f t="shared" si="4"/>
        <v>386201.38927092648</v>
      </c>
      <c r="G9" s="26">
        <f t="shared" si="4"/>
        <v>383672.50564844062</v>
      </c>
      <c r="H9" s="26">
        <f t="shared" si="4"/>
        <v>371880.42850783526</v>
      </c>
      <c r="I9" s="26">
        <f t="shared" si="4"/>
        <v>379035.4913448611</v>
      </c>
      <c r="J9" s="26">
        <f t="shared" si="4"/>
        <v>358002.9636870916</v>
      </c>
      <c r="K9" s="26">
        <f t="shared" si="4"/>
        <v>360848.34682914009</v>
      </c>
      <c r="L9" s="26">
        <f t="shared" si="4"/>
        <v>348734.42582221748</v>
      </c>
      <c r="M9" s="26">
        <f t="shared" si="4"/>
        <v>361540.55100603506</v>
      </c>
      <c r="N9" s="26">
        <f t="shared" si="4"/>
        <v>374130.45505311235</v>
      </c>
      <c r="O9" s="26">
        <f t="shared" si="4"/>
        <v>375614.66471346107</v>
      </c>
      <c r="P9" s="26">
        <f t="shared" si="4"/>
        <v>393291.88927416567</v>
      </c>
      <c r="Q9" s="26">
        <f t="shared" si="4"/>
        <v>390894.37728593533</v>
      </c>
      <c r="R9" s="26">
        <f t="shared" si="4"/>
        <v>383965.82024594216</v>
      </c>
      <c r="S9" s="26">
        <f t="shared" si="4"/>
        <v>386417.05358485226</v>
      </c>
      <c r="T9" s="26">
        <f t="shared" si="4"/>
        <v>390197.74128079246</v>
      </c>
      <c r="U9" s="26">
        <f t="shared" si="4"/>
        <v>372827.69587540434</v>
      </c>
      <c r="V9" s="26">
        <f t="shared" si="4"/>
        <v>348389.09206111729</v>
      </c>
      <c r="W9" s="26">
        <f t="shared" si="4"/>
        <v>359017.19283822941</v>
      </c>
      <c r="X9" s="26">
        <f t="shared" si="4"/>
        <v>354673.4255766219</v>
      </c>
      <c r="Y9" s="26">
        <f t="shared" si="4"/>
        <v>365456.86844247062</v>
      </c>
      <c r="Z9" s="26">
        <f t="shared" si="4"/>
        <v>370899.35656548548</v>
      </c>
      <c r="AA9" s="26">
        <f t="shared" si="4"/>
        <v>350785.94383501878</v>
      </c>
      <c r="AB9" s="26">
        <f t="shared" si="4"/>
        <v>339468.06636674964</v>
      </c>
      <c r="AC9" s="26">
        <f t="shared" si="4"/>
        <v>335081.13628062553</v>
      </c>
      <c r="AD9" s="26">
        <f t="shared" si="4"/>
        <v>315951.54149462015</v>
      </c>
      <c r="AE9" s="26">
        <f t="shared" si="4"/>
        <v>302165.55898082716</v>
      </c>
      <c r="AF9" s="26">
        <f t="shared" si="4"/>
        <v>251920.15760029669</v>
      </c>
      <c r="AG9" s="165">
        <f t="shared" ref="AG9" si="5">SUMIF(AG10:AG12,"&lt;1E+307")</f>
        <v>213307.44122231321</v>
      </c>
      <c r="AH9" s="141">
        <f t="shared" ref="AH9" si="6">SUMIF(AH10:AH12,"&lt;1E+307")</f>
        <v>240936.39066684039</v>
      </c>
      <c r="AI9" s="165">
        <f t="shared" ref="AI9:AL9" si="7">SUMIF(AI10:AI12,"&lt;1E+307")</f>
        <v>251465.33523502495</v>
      </c>
      <c r="AJ9" s="165">
        <f t="shared" si="7"/>
        <v>198724.50912525845</v>
      </c>
      <c r="AK9" s="165">
        <f t="shared" si="7"/>
        <v>183671.20617852069</v>
      </c>
      <c r="AL9" s="165">
        <f t="shared" si="7"/>
        <v>183142.64868256435</v>
      </c>
    </row>
    <row r="10" spans="2:38" s="87" customFormat="1" ht="18.75" customHeight="1">
      <c r="B10" s="89" t="s">
        <v>0</v>
      </c>
      <c r="C10" s="90">
        <v>427952.70442269614</v>
      </c>
      <c r="D10" s="166">
        <v>414247.50366675976</v>
      </c>
      <c r="E10" s="166">
        <v>392692.74859578762</v>
      </c>
      <c r="F10" s="166">
        <v>381691.93731093191</v>
      </c>
      <c r="G10" s="166">
        <v>379239.18935936398</v>
      </c>
      <c r="H10" s="166">
        <v>367496.61740544194</v>
      </c>
      <c r="I10" s="166">
        <v>374339.77047439298</v>
      </c>
      <c r="J10" s="166">
        <v>353346.15650603862</v>
      </c>
      <c r="K10" s="166">
        <v>356250.27901830018</v>
      </c>
      <c r="L10" s="166">
        <v>344195.29282200354</v>
      </c>
      <c r="M10" s="166">
        <v>357133.77014425822</v>
      </c>
      <c r="N10" s="166">
        <v>369668.46646197932</v>
      </c>
      <c r="O10" s="166">
        <v>371045.23253552889</v>
      </c>
      <c r="P10" s="166">
        <v>388781.10266989813</v>
      </c>
      <c r="Q10" s="166">
        <v>386450.95549768402</v>
      </c>
      <c r="R10" s="166">
        <v>379530.94175273902</v>
      </c>
      <c r="S10" s="166">
        <v>381677.08556462411</v>
      </c>
      <c r="T10" s="166">
        <v>385845.07915329008</v>
      </c>
      <c r="U10" s="166">
        <v>368450.08655853581</v>
      </c>
      <c r="V10" s="166">
        <v>344462.00446155184</v>
      </c>
      <c r="W10" s="166">
        <v>355259.78388905834</v>
      </c>
      <c r="X10" s="166">
        <v>350773.20248739567</v>
      </c>
      <c r="Y10" s="166">
        <v>361563.27322413406</v>
      </c>
      <c r="Z10" s="166">
        <v>366740.650110799</v>
      </c>
      <c r="AA10" s="166">
        <v>347112.5815168969</v>
      </c>
      <c r="AB10" s="166">
        <v>335863.39624929492</v>
      </c>
      <c r="AC10" s="166">
        <v>331691.20510063856</v>
      </c>
      <c r="AD10" s="166">
        <v>312433.12270208145</v>
      </c>
      <c r="AE10" s="166">
        <v>298847.82478007383</v>
      </c>
      <c r="AF10" s="166">
        <v>248688.89068466763</v>
      </c>
      <c r="AG10" s="166">
        <v>210723.93638729374</v>
      </c>
      <c r="AH10" s="166">
        <v>238228.52294365008</v>
      </c>
      <c r="AI10" s="166">
        <v>248302.79418744013</v>
      </c>
      <c r="AJ10" s="166">
        <v>196091.70150437346</v>
      </c>
      <c r="AK10" s="166">
        <v>181191.16094638864</v>
      </c>
      <c r="AL10" s="166">
        <v>180583.80624824701</v>
      </c>
    </row>
    <row r="11" spans="2:38" s="87" customFormat="1" ht="18.75" customHeight="1">
      <c r="B11" s="18" t="s">
        <v>2</v>
      </c>
      <c r="C11" s="28">
        <v>1083.2669225</v>
      </c>
      <c r="D11" s="28">
        <v>1139.0283824999999</v>
      </c>
      <c r="E11" s="28">
        <v>1126.6868711</v>
      </c>
      <c r="F11" s="28">
        <v>1191.6130584999999</v>
      </c>
      <c r="G11" s="28">
        <v>1212.9793499999998</v>
      </c>
      <c r="H11" s="28">
        <v>1323.7139119999999</v>
      </c>
      <c r="I11" s="28">
        <v>1482.3934264</v>
      </c>
      <c r="J11" s="28">
        <v>1417.3257855999998</v>
      </c>
      <c r="K11" s="28">
        <v>1429.7796552</v>
      </c>
      <c r="L11" s="28">
        <v>1425.9350059999999</v>
      </c>
      <c r="M11" s="28">
        <v>1414.2592984</v>
      </c>
      <c r="N11" s="28">
        <v>1492.4007155999998</v>
      </c>
      <c r="O11" s="28">
        <v>1603.4827191000002</v>
      </c>
      <c r="P11" s="28">
        <v>1507.7385959999999</v>
      </c>
      <c r="Q11" s="28">
        <v>1515.1455374999998</v>
      </c>
      <c r="R11" s="28">
        <v>1480.982686848</v>
      </c>
      <c r="S11" s="28">
        <v>1670.8132299209999</v>
      </c>
      <c r="T11" s="28">
        <v>1363.8925345535999</v>
      </c>
      <c r="U11" s="28">
        <v>1432.7991799653</v>
      </c>
      <c r="V11" s="28">
        <v>1351.7154793359</v>
      </c>
      <c r="W11" s="28">
        <v>1175.645262176</v>
      </c>
      <c r="X11" s="28">
        <v>1227.2774321160002</v>
      </c>
      <c r="Y11" s="28">
        <v>1236.3029460415999</v>
      </c>
      <c r="Z11" s="28">
        <v>1469.7585731070772</v>
      </c>
      <c r="AA11" s="28">
        <v>1195.052894592</v>
      </c>
      <c r="AB11" s="28">
        <v>1231.0067087999998</v>
      </c>
      <c r="AC11" s="28">
        <v>1046.2848296847001</v>
      </c>
      <c r="AD11" s="28">
        <v>1251.7394611015</v>
      </c>
      <c r="AE11" s="28">
        <v>1329.21174646995</v>
      </c>
      <c r="AF11" s="28">
        <v>1193.9694623231499</v>
      </c>
      <c r="AG11" s="167">
        <v>767.5157920695998</v>
      </c>
      <c r="AH11" s="143">
        <v>836.21568781430005</v>
      </c>
      <c r="AI11" s="167">
        <v>1328.0872292621998</v>
      </c>
      <c r="AJ11" s="167">
        <v>936.13317036623982</v>
      </c>
      <c r="AK11" s="167">
        <v>675.0468063738399</v>
      </c>
      <c r="AL11" s="167">
        <v>761.45323397896004</v>
      </c>
    </row>
    <row r="12" spans="2:38" s="87" customFormat="1" ht="18.75" customHeight="1">
      <c r="B12" s="89" t="s">
        <v>1</v>
      </c>
      <c r="C12" s="90">
        <v>3840.6717552809114</v>
      </c>
      <c r="D12" s="90">
        <v>3619.3875430758512</v>
      </c>
      <c r="E12" s="90">
        <v>3540.271436295222</v>
      </c>
      <c r="F12" s="90">
        <v>3317.8389014945719</v>
      </c>
      <c r="G12" s="90">
        <v>3220.3369390766848</v>
      </c>
      <c r="H12" s="90">
        <v>3060.0971903933178</v>
      </c>
      <c r="I12" s="90">
        <v>3213.3274440680761</v>
      </c>
      <c r="J12" s="90">
        <v>3239.4813954530055</v>
      </c>
      <c r="K12" s="90">
        <v>3168.2881556399147</v>
      </c>
      <c r="L12" s="90">
        <v>3113.1979942139856</v>
      </c>
      <c r="M12" s="90">
        <v>2992.5215633768025</v>
      </c>
      <c r="N12" s="90">
        <v>2969.5878755330168</v>
      </c>
      <c r="O12" s="90">
        <v>2965.9494588321563</v>
      </c>
      <c r="P12" s="90">
        <v>3003.0480082675531</v>
      </c>
      <c r="Q12" s="90">
        <v>2928.2762507513257</v>
      </c>
      <c r="R12" s="90">
        <v>2953.8958063551431</v>
      </c>
      <c r="S12" s="90">
        <v>3069.1547903071773</v>
      </c>
      <c r="T12" s="90">
        <v>2988.769592948765</v>
      </c>
      <c r="U12" s="90">
        <v>2944.8101369032611</v>
      </c>
      <c r="V12" s="90">
        <v>2575.3721202295528</v>
      </c>
      <c r="W12" s="90">
        <v>2581.7636869950829</v>
      </c>
      <c r="X12" s="90">
        <v>2672.9456571102737</v>
      </c>
      <c r="Y12" s="90">
        <v>2657.2922722949743</v>
      </c>
      <c r="Z12" s="90">
        <v>2688.9478815793796</v>
      </c>
      <c r="AA12" s="90">
        <v>2478.3094235298727</v>
      </c>
      <c r="AB12" s="90">
        <v>2373.6634086547338</v>
      </c>
      <c r="AC12" s="90">
        <v>2343.6463503022801</v>
      </c>
      <c r="AD12" s="90">
        <v>2266.6793314372203</v>
      </c>
      <c r="AE12" s="90">
        <v>1988.5224542833728</v>
      </c>
      <c r="AF12" s="90">
        <v>2037.2974533059205</v>
      </c>
      <c r="AG12" s="166">
        <v>1815.9890429498541</v>
      </c>
      <c r="AH12" s="142">
        <v>1871.6520353759934</v>
      </c>
      <c r="AI12" s="166">
        <v>1834.4538183226107</v>
      </c>
      <c r="AJ12" s="166">
        <v>1696.6744505187596</v>
      </c>
      <c r="AK12" s="166">
        <v>1804.9984257582232</v>
      </c>
      <c r="AL12" s="166">
        <v>1797.3892003383755</v>
      </c>
    </row>
    <row r="13" spans="2:38" s="87" customFormat="1" ht="18.75" customHeight="1">
      <c r="B13" s="1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67"/>
      <c r="AH13" s="143"/>
      <c r="AI13" s="167"/>
      <c r="AJ13" s="167"/>
      <c r="AK13" s="167"/>
      <c r="AL13" s="167"/>
    </row>
    <row r="14" spans="2:38" s="10" customFormat="1" ht="18.75" customHeight="1">
      <c r="B14" s="6" t="s">
        <v>9</v>
      </c>
      <c r="C14" s="25">
        <f t="shared" ref="C14:AH14" si="8">SUMIF(C15:C19,"&lt;1E+307")</f>
        <v>242595.58703813161</v>
      </c>
      <c r="D14" s="25">
        <f t="shared" si="8"/>
        <v>217323.09789952662</v>
      </c>
      <c r="E14" s="25">
        <f t="shared" si="8"/>
        <v>203398.64635948531</v>
      </c>
      <c r="F14" s="25">
        <f t="shared" si="8"/>
        <v>192964.27628130952</v>
      </c>
      <c r="G14" s="25">
        <f t="shared" si="8"/>
        <v>193671.35773689375</v>
      </c>
      <c r="H14" s="25">
        <f t="shared" si="8"/>
        <v>196619.03874183376</v>
      </c>
      <c r="I14" s="25">
        <f t="shared" si="8"/>
        <v>185184.85721587724</v>
      </c>
      <c r="J14" s="25">
        <f t="shared" si="8"/>
        <v>191815.73242261747</v>
      </c>
      <c r="K14" s="25">
        <f t="shared" si="8"/>
        <v>185839.6173998235</v>
      </c>
      <c r="L14" s="25">
        <f t="shared" si="8"/>
        <v>181049.57404885683</v>
      </c>
      <c r="M14" s="25">
        <f t="shared" si="8"/>
        <v>182406.62968572238</v>
      </c>
      <c r="N14" s="25">
        <f t="shared" si="8"/>
        <v>169450.0563676056</v>
      </c>
      <c r="O14" s="25">
        <f t="shared" si="8"/>
        <v>166919.68038404832</v>
      </c>
      <c r="P14" s="25">
        <f t="shared" si="8"/>
        <v>166592.58940823298</v>
      </c>
      <c r="Q14" s="25">
        <f t="shared" si="8"/>
        <v>164981.4826688813</v>
      </c>
      <c r="R14" s="25">
        <f t="shared" si="8"/>
        <v>163400.57206165872</v>
      </c>
      <c r="S14" s="25">
        <f t="shared" si="8"/>
        <v>168239.62481387734</v>
      </c>
      <c r="T14" s="25">
        <f t="shared" si="8"/>
        <v>173990.92644342902</v>
      </c>
      <c r="U14" s="25">
        <f t="shared" si="8"/>
        <v>171709.54035582938</v>
      </c>
      <c r="V14" s="25">
        <f t="shared" si="8"/>
        <v>145490.10457711937</v>
      </c>
      <c r="W14" s="25">
        <f t="shared" si="8"/>
        <v>166791.6910836327</v>
      </c>
      <c r="X14" s="25">
        <f t="shared" si="8"/>
        <v>164883.42672604608</v>
      </c>
      <c r="Y14" s="25">
        <f t="shared" si="8"/>
        <v>160248.64038101988</v>
      </c>
      <c r="Z14" s="25">
        <f t="shared" si="8"/>
        <v>160041.35882367389</v>
      </c>
      <c r="AA14" s="25">
        <f t="shared" si="8"/>
        <v>159258.06110016897</v>
      </c>
      <c r="AB14" s="25">
        <f t="shared" si="8"/>
        <v>165614.83144857708</v>
      </c>
      <c r="AC14" s="25">
        <f t="shared" si="8"/>
        <v>169355.76239191857</v>
      </c>
      <c r="AD14" s="25">
        <f t="shared" si="8"/>
        <v>175180.15939892211</v>
      </c>
      <c r="AE14" s="25">
        <f t="shared" si="8"/>
        <v>168664.01843928877</v>
      </c>
      <c r="AF14" s="25">
        <f t="shared" si="8"/>
        <v>163892.15756223167</v>
      </c>
      <c r="AG14" s="164">
        <f t="shared" si="8"/>
        <v>158712.31329290353</v>
      </c>
      <c r="AH14" s="140">
        <f t="shared" si="8"/>
        <v>167149.12210809387</v>
      </c>
      <c r="AI14" s="164">
        <f t="shared" ref="AI14:AL14" si="9">SUMIF(AI15:AI19,"&lt;1E+307")</f>
        <v>152459.37801929298</v>
      </c>
      <c r="AJ14" s="164">
        <f t="shared" si="9"/>
        <v>138937.88054454143</v>
      </c>
      <c r="AK14" s="164">
        <f t="shared" si="9"/>
        <v>139212.44501114046</v>
      </c>
      <c r="AL14" s="164">
        <f t="shared" si="9"/>
        <v>133782.42517834142</v>
      </c>
    </row>
    <row r="15" spans="2:38" ht="18.75" customHeight="1">
      <c r="B15" s="18" t="s">
        <v>24</v>
      </c>
      <c r="C15" s="28">
        <v>182953.24809248745</v>
      </c>
      <c r="D15" s="28">
        <v>161493.50000023478</v>
      </c>
      <c r="E15" s="28">
        <v>150302.83883711984</v>
      </c>
      <c r="F15" s="28">
        <v>139407.27576491394</v>
      </c>
      <c r="G15" s="28">
        <v>137471.02658898273</v>
      </c>
      <c r="H15" s="28">
        <v>140872.14898874803</v>
      </c>
      <c r="I15" s="28">
        <v>131594.7595974874</v>
      </c>
      <c r="J15" s="28">
        <v>135517.4060238846</v>
      </c>
      <c r="K15" s="28">
        <v>131065.16260294881</v>
      </c>
      <c r="L15" s="28">
        <v>128572.22111799382</v>
      </c>
      <c r="M15" s="28">
        <v>124948.22836117387</v>
      </c>
      <c r="N15" s="28">
        <v>117960.63284546256</v>
      </c>
      <c r="O15" s="28">
        <v>117329.22654269969</v>
      </c>
      <c r="P15" s="28">
        <v>114020.39863813583</v>
      </c>
      <c r="Q15" s="28">
        <v>112239.42132751986</v>
      </c>
      <c r="R15" s="28">
        <v>112632.35365609237</v>
      </c>
      <c r="S15" s="28">
        <v>116844.18790512408</v>
      </c>
      <c r="T15" s="28">
        <v>121796.76814307981</v>
      </c>
      <c r="U15" s="28">
        <v>122437.46811121203</v>
      </c>
      <c r="V15" s="28">
        <v>104864.24528885672</v>
      </c>
      <c r="W15" s="28">
        <v>120863.46258218875</v>
      </c>
      <c r="X15" s="28">
        <v>117434.39015844252</v>
      </c>
      <c r="Y15" s="28">
        <v>115504.38321148533</v>
      </c>
      <c r="Z15" s="28">
        <v>115529.57129450198</v>
      </c>
      <c r="AA15" s="28">
        <v>114366.3414510435</v>
      </c>
      <c r="AB15" s="28">
        <v>121965.97833048906</v>
      </c>
      <c r="AC15" s="28">
        <v>124050.23790312982</v>
      </c>
      <c r="AD15" s="28">
        <v>125949.25416056099</v>
      </c>
      <c r="AE15" s="28">
        <v>121466.95030639503</v>
      </c>
      <c r="AF15" s="28">
        <v>118925.81331886073</v>
      </c>
      <c r="AG15" s="167">
        <v>116363.17498674167</v>
      </c>
      <c r="AH15" s="143">
        <v>122183.91624662768</v>
      </c>
      <c r="AI15" s="167">
        <v>111828.31605502056</v>
      </c>
      <c r="AJ15" s="167">
        <v>101813.76688444123</v>
      </c>
      <c r="AK15" s="167">
        <v>100999.76507121793</v>
      </c>
      <c r="AL15" s="167">
        <v>97357.064890192618</v>
      </c>
    </row>
    <row r="16" spans="2:38" ht="18.75" customHeight="1">
      <c r="B16" s="17" t="s">
        <v>11</v>
      </c>
      <c r="C16" s="27">
        <v>23522.37700335959</v>
      </c>
      <c r="D16" s="27">
        <v>21349.780691256252</v>
      </c>
      <c r="E16" s="27">
        <v>22135.054345486107</v>
      </c>
      <c r="F16" s="27">
        <v>22530.875775271143</v>
      </c>
      <c r="G16" s="27">
        <v>24133.10308054736</v>
      </c>
      <c r="H16" s="27">
        <v>24487.421341301233</v>
      </c>
      <c r="I16" s="27">
        <v>23079.988502054999</v>
      </c>
      <c r="J16" s="27">
        <v>23600.760284535903</v>
      </c>
      <c r="K16" s="27">
        <v>23600.618765187221</v>
      </c>
      <c r="L16" s="27">
        <v>23710.802547403946</v>
      </c>
      <c r="M16" s="27">
        <v>23265.792589337652</v>
      </c>
      <c r="N16" s="27">
        <v>21051.263216725929</v>
      </c>
      <c r="O16" s="27">
        <v>20147.498665345225</v>
      </c>
      <c r="P16" s="27">
        <v>20878.76077120662</v>
      </c>
      <c r="Q16" s="27">
        <v>21406.357267773958</v>
      </c>
      <c r="R16" s="27">
        <v>20125.529017977478</v>
      </c>
      <c r="S16" s="27">
        <v>20599.789467911356</v>
      </c>
      <c r="T16" s="27">
        <v>21913.613437772234</v>
      </c>
      <c r="U16" s="27">
        <v>20885.548247507759</v>
      </c>
      <c r="V16" s="27">
        <v>18501.861688396122</v>
      </c>
      <c r="W16" s="27">
        <v>18977.182026466369</v>
      </c>
      <c r="X16" s="27">
        <v>20178.988661134783</v>
      </c>
      <c r="Y16" s="27">
        <v>19665.716849405289</v>
      </c>
      <c r="Z16" s="27">
        <v>19073.370355693482</v>
      </c>
      <c r="AA16" s="27">
        <v>19638.083771418034</v>
      </c>
      <c r="AB16" s="27">
        <v>19221.312421853476</v>
      </c>
      <c r="AC16" s="27">
        <v>19228.260527882798</v>
      </c>
      <c r="AD16" s="27">
        <v>19933.552517479937</v>
      </c>
      <c r="AE16" s="27">
        <v>19807.482634354652</v>
      </c>
      <c r="AF16" s="27">
        <v>19569.242430160608</v>
      </c>
      <c r="AG16" s="166">
        <v>19201.696960959183</v>
      </c>
      <c r="AH16" s="142">
        <v>19994.870896526314</v>
      </c>
      <c r="AI16" s="166">
        <v>18727.334137133912</v>
      </c>
      <c r="AJ16" s="166">
        <v>15964.597919855491</v>
      </c>
      <c r="AK16" s="166">
        <v>15079.792072213853</v>
      </c>
      <c r="AL16" s="166">
        <v>14818.660824693799</v>
      </c>
    </row>
    <row r="17" spans="2:38" ht="18.75" customHeight="1">
      <c r="B17" s="18" t="s">
        <v>12</v>
      </c>
      <c r="C17" s="28">
        <v>8057.6315382080002</v>
      </c>
      <c r="D17" s="28">
        <v>7069.4771887960005</v>
      </c>
      <c r="E17" s="28">
        <v>7049.1707268109994</v>
      </c>
      <c r="F17" s="28">
        <v>6635.6311282999995</v>
      </c>
      <c r="G17" s="28">
        <v>6665.4188654999998</v>
      </c>
      <c r="H17" s="28">
        <v>7924.1792306999996</v>
      </c>
      <c r="I17" s="28">
        <v>7889.1969417999999</v>
      </c>
      <c r="J17" s="28">
        <v>7992.7679094015675</v>
      </c>
      <c r="K17" s="28">
        <v>8171.5525691072926</v>
      </c>
      <c r="L17" s="28">
        <v>7888.207184396415</v>
      </c>
      <c r="M17" s="28">
        <v>8403.734746596665</v>
      </c>
      <c r="N17" s="28">
        <v>7758.9848153053072</v>
      </c>
      <c r="O17" s="28">
        <v>8371.1302776049779</v>
      </c>
      <c r="P17" s="28">
        <v>8432.4205721029211</v>
      </c>
      <c r="Q17" s="28">
        <v>7942.8319610998396</v>
      </c>
      <c r="R17" s="28">
        <v>8707.5394144940983</v>
      </c>
      <c r="S17" s="28">
        <v>8275.5042606026382</v>
      </c>
      <c r="T17" s="28">
        <v>8576.8932334952588</v>
      </c>
      <c r="U17" s="28">
        <v>8194.10300110143</v>
      </c>
      <c r="V17" s="28">
        <v>7271.8592395975857</v>
      </c>
      <c r="W17" s="28">
        <v>8259.1768385047908</v>
      </c>
      <c r="X17" s="28">
        <v>8035.1088442965111</v>
      </c>
      <c r="Y17" s="28">
        <v>8185.8987039000831</v>
      </c>
      <c r="Z17" s="28">
        <v>8107.3504347001626</v>
      </c>
      <c r="AA17" s="28">
        <v>6236.5878646981746</v>
      </c>
      <c r="AB17" s="28">
        <v>5564.1312491045246</v>
      </c>
      <c r="AC17" s="28">
        <v>5641.0609749054584</v>
      </c>
      <c r="AD17" s="28">
        <v>5613.7366613309159</v>
      </c>
      <c r="AE17" s="28">
        <v>5535.9677074522942</v>
      </c>
      <c r="AF17" s="28">
        <v>5403.3282347296472</v>
      </c>
      <c r="AG17" s="167">
        <v>5380.5898900000002</v>
      </c>
      <c r="AH17" s="143">
        <v>5337.2578429464875</v>
      </c>
      <c r="AI17" s="167">
        <v>4288.12295094</v>
      </c>
      <c r="AJ17" s="167">
        <v>4066.8051108679997</v>
      </c>
      <c r="AK17" s="167">
        <v>4432.8150334840002</v>
      </c>
      <c r="AL17" s="167">
        <v>4335.0239708840008</v>
      </c>
    </row>
    <row r="18" spans="2:38" ht="18.75" customHeight="1">
      <c r="B18" s="17" t="s">
        <v>13</v>
      </c>
      <c r="C18" s="27">
        <v>25079.882419729998</v>
      </c>
      <c r="D18" s="27">
        <v>24467.714117</v>
      </c>
      <c r="E18" s="27">
        <v>21048.1788165</v>
      </c>
      <c r="F18" s="27">
        <v>21507.351017259996</v>
      </c>
      <c r="G18" s="27">
        <v>22942.715009903997</v>
      </c>
      <c r="H18" s="27">
        <v>20794.279676127549</v>
      </c>
      <c r="I18" s="27">
        <v>20065.329893404487</v>
      </c>
      <c r="J18" s="27">
        <v>22095.066628782126</v>
      </c>
      <c r="K18" s="27">
        <v>20309.831447575056</v>
      </c>
      <c r="L18" s="27">
        <v>18258.881351595937</v>
      </c>
      <c r="M18" s="27">
        <v>23460.80361794191</v>
      </c>
      <c r="N18" s="27">
        <v>20494.449585052811</v>
      </c>
      <c r="O18" s="27">
        <v>18917.711769541562</v>
      </c>
      <c r="P18" s="27">
        <v>21093.685819083177</v>
      </c>
      <c r="Q18" s="27">
        <v>21096.521473631838</v>
      </c>
      <c r="R18" s="27">
        <v>19696.695752898198</v>
      </c>
      <c r="S18" s="27">
        <v>20261.977353624075</v>
      </c>
      <c r="T18" s="27">
        <v>19455.992923737969</v>
      </c>
      <c r="U18" s="27">
        <v>18026.57241016129</v>
      </c>
      <c r="V18" s="27">
        <v>12820.29697220962</v>
      </c>
      <c r="W18" s="27">
        <v>16383.188111034129</v>
      </c>
      <c r="X18" s="27">
        <v>17055.501447419982</v>
      </c>
      <c r="Y18" s="27">
        <v>14725.553063361911</v>
      </c>
      <c r="Z18" s="27">
        <v>15208.987606350158</v>
      </c>
      <c r="AA18" s="27">
        <v>16958.06475654275</v>
      </c>
      <c r="AB18" s="27">
        <v>16865.81453721704</v>
      </c>
      <c r="AC18" s="27">
        <v>18403.853932686758</v>
      </c>
      <c r="AD18" s="27">
        <v>21599.908807675267</v>
      </c>
      <c r="AE18" s="27">
        <v>19831.5309980618</v>
      </c>
      <c r="AF18" s="27">
        <v>18021.335000786541</v>
      </c>
      <c r="AG18" s="166">
        <v>15823.373270094011</v>
      </c>
      <c r="AH18" s="142">
        <v>17565.16618132859</v>
      </c>
      <c r="AI18" s="166">
        <v>15495.8031741825</v>
      </c>
      <c r="AJ18" s="166">
        <v>15261.253777804279</v>
      </c>
      <c r="AK18" s="166">
        <v>16841.329401016079</v>
      </c>
      <c r="AL18" s="166">
        <v>15404.922110738149</v>
      </c>
    </row>
    <row r="19" spans="2:38" ht="18.75" customHeight="1">
      <c r="B19" s="18" t="s">
        <v>77</v>
      </c>
      <c r="C19" s="28">
        <v>2982.447984346597</v>
      </c>
      <c r="D19" s="28">
        <v>2942.6259022395898</v>
      </c>
      <c r="E19" s="28">
        <v>2863.4036335683804</v>
      </c>
      <c r="F19" s="28">
        <v>2883.1425955644222</v>
      </c>
      <c r="G19" s="28">
        <v>2459.094191959673</v>
      </c>
      <c r="H19" s="28">
        <v>2541.0095049569622</v>
      </c>
      <c r="I19" s="28">
        <v>2555.5822811303246</v>
      </c>
      <c r="J19" s="28">
        <v>2609.7315760132669</v>
      </c>
      <c r="K19" s="28">
        <v>2692.4520150051221</v>
      </c>
      <c r="L19" s="28">
        <v>2619.4618474666895</v>
      </c>
      <c r="M19" s="28">
        <v>2328.0703706723129</v>
      </c>
      <c r="N19" s="28">
        <v>2184.7259050589992</v>
      </c>
      <c r="O19" s="28">
        <v>2154.1131288568577</v>
      </c>
      <c r="P19" s="28">
        <v>2167.323607704428</v>
      </c>
      <c r="Q19" s="28">
        <v>2296.3506388558044</v>
      </c>
      <c r="R19" s="28">
        <v>2238.454220196586</v>
      </c>
      <c r="S19" s="28">
        <v>2258.1658266151894</v>
      </c>
      <c r="T19" s="28">
        <v>2247.6587053437629</v>
      </c>
      <c r="U19" s="28">
        <v>2165.8485858468634</v>
      </c>
      <c r="V19" s="28">
        <v>2031.8413880593132</v>
      </c>
      <c r="W19" s="28">
        <v>2308.6815254386365</v>
      </c>
      <c r="X19" s="28">
        <v>2179.4376147522703</v>
      </c>
      <c r="Y19" s="28">
        <v>2167.0885528673093</v>
      </c>
      <c r="Z19" s="28">
        <v>2122.0791324281026</v>
      </c>
      <c r="AA19" s="28">
        <v>2058.9832564665039</v>
      </c>
      <c r="AB19" s="28">
        <v>1997.594909912983</v>
      </c>
      <c r="AC19" s="28">
        <v>2032.3490533137212</v>
      </c>
      <c r="AD19" s="28">
        <v>2083.7072518750256</v>
      </c>
      <c r="AE19" s="28">
        <v>2022.0867930249858</v>
      </c>
      <c r="AF19" s="28">
        <v>1972.438577694129</v>
      </c>
      <c r="AG19" s="167">
        <v>1943.4781851086716</v>
      </c>
      <c r="AH19" s="143">
        <v>2067.9109406648172</v>
      </c>
      <c r="AI19" s="167">
        <v>2119.8017020159709</v>
      </c>
      <c r="AJ19" s="167">
        <v>1831.4568515724291</v>
      </c>
      <c r="AK19" s="167">
        <v>1858.7434332085973</v>
      </c>
      <c r="AL19" s="167">
        <v>1866.7533818328554</v>
      </c>
    </row>
    <row r="20" spans="2:38" s="149" customFormat="1" ht="18.75" customHeight="1">
      <c r="B20" s="8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</row>
    <row r="21" spans="2:38" s="10" customFormat="1" ht="18.75" customHeight="1">
      <c r="B21" s="151" t="s">
        <v>10</v>
      </c>
      <c r="C21" s="165">
        <f>SUMIF(C22:C24,"&lt;1E+307")</f>
        <v>204426.30140053615</v>
      </c>
      <c r="D21" s="165">
        <f t="shared" ref="D21:AD21" si="10">SUMIF(D22:D24,"&lt;1E+307")</f>
        <v>204464.78671612771</v>
      </c>
      <c r="E21" s="165">
        <f t="shared" si="10"/>
        <v>187446.47835019644</v>
      </c>
      <c r="F21" s="165">
        <f t="shared" si="10"/>
        <v>194475.87427361801</v>
      </c>
      <c r="G21" s="165">
        <f t="shared" si="10"/>
        <v>184173.63434655519</v>
      </c>
      <c r="H21" s="165">
        <f t="shared" si="10"/>
        <v>185868.13190560314</v>
      </c>
      <c r="I21" s="165">
        <f t="shared" si="10"/>
        <v>209067.25433465827</v>
      </c>
      <c r="J21" s="165">
        <f t="shared" si="10"/>
        <v>195853.09557971376</v>
      </c>
      <c r="K21" s="165">
        <f t="shared" si="10"/>
        <v>188003.73801227566</v>
      </c>
      <c r="L21" s="165">
        <f t="shared" si="10"/>
        <v>171373.74591650072</v>
      </c>
      <c r="M21" s="165">
        <f t="shared" si="10"/>
        <v>165371.57561343405</v>
      </c>
      <c r="N21" s="165">
        <f t="shared" si="10"/>
        <v>185542.84076623622</v>
      </c>
      <c r="O21" s="165">
        <f t="shared" si="10"/>
        <v>172638.45492121173</v>
      </c>
      <c r="P21" s="165">
        <f t="shared" si="10"/>
        <v>162995.74858008715</v>
      </c>
      <c r="Q21" s="165">
        <f t="shared" si="10"/>
        <v>151290.91861247711</v>
      </c>
      <c r="R21" s="165">
        <f t="shared" si="10"/>
        <v>150119.18603760182</v>
      </c>
      <c r="S21" s="165">
        <f t="shared" si="10"/>
        <v>159360.08582292241</v>
      </c>
      <c r="T21" s="165">
        <f t="shared" si="10"/>
        <v>121020.9674651274</v>
      </c>
      <c r="U21" s="165">
        <f t="shared" si="10"/>
        <v>145849.79220341903</v>
      </c>
      <c r="V21" s="165">
        <f t="shared" si="10"/>
        <v>135672.93685702098</v>
      </c>
      <c r="W21" s="165">
        <f t="shared" si="10"/>
        <v>143290.82601796224</v>
      </c>
      <c r="X21" s="165">
        <f t="shared" si="10"/>
        <v>123320.80179823971</v>
      </c>
      <c r="Y21" s="165">
        <f t="shared" si="10"/>
        <v>127949.21310626442</v>
      </c>
      <c r="Z21" s="165">
        <f t="shared" si="10"/>
        <v>138566.59302241326</v>
      </c>
      <c r="AA21" s="165">
        <f t="shared" si="10"/>
        <v>117242.35922132559</v>
      </c>
      <c r="AB21" s="165">
        <f t="shared" si="10"/>
        <v>123305.03713789067</v>
      </c>
      <c r="AC21" s="165">
        <f t="shared" si="10"/>
        <v>122772.55741666764</v>
      </c>
      <c r="AD21" s="165">
        <f t="shared" si="10"/>
        <v>121576.43392247471</v>
      </c>
      <c r="AE21" s="165">
        <f t="shared" ref="AE21:AF21" si="11">SUMIF(AE22:AE24,"&lt;1E+307")</f>
        <v>116286.6871478738</v>
      </c>
      <c r="AF21" s="165">
        <f t="shared" si="11"/>
        <v>122108.53536007011</v>
      </c>
      <c r="AG21" s="165">
        <f t="shared" ref="AG21" si="12">SUMIF(AG22:AG24,"&lt;1E+307")</f>
        <v>120245.94594109911</v>
      </c>
      <c r="AH21" s="165">
        <f t="shared" ref="AH21" si="13">SUMIF(AH22:AH24,"&lt;1E+307")</f>
        <v>116511.58377331472</v>
      </c>
      <c r="AI21" s="165">
        <f t="shared" ref="AI21:AL21" si="14">SUMIF(AI22:AI24,"&lt;1E+307")</f>
        <v>109817.89847931165</v>
      </c>
      <c r="AJ21" s="165">
        <f t="shared" si="14"/>
        <v>101104.43641304404</v>
      </c>
      <c r="AK21" s="165">
        <f t="shared" si="14"/>
        <v>98783.959242402882</v>
      </c>
      <c r="AL21" s="165">
        <f t="shared" si="14"/>
        <v>102034.52300520524</v>
      </c>
    </row>
    <row r="22" spans="2:38" s="149" customFormat="1" ht="18.75" customHeight="1">
      <c r="B22" s="89" t="s">
        <v>69</v>
      </c>
      <c r="C22" s="166">
        <v>64025.928445886311</v>
      </c>
      <c r="D22" s="166">
        <v>64704.85310156161</v>
      </c>
      <c r="E22" s="166">
        <v>57718.717660780007</v>
      </c>
      <c r="F22" s="166">
        <v>55478.257539466205</v>
      </c>
      <c r="G22" s="166">
        <v>51078.221441122099</v>
      </c>
      <c r="H22" s="166">
        <v>52912.638446948396</v>
      </c>
      <c r="I22" s="166">
        <v>63670.772271487251</v>
      </c>
      <c r="J22" s="166">
        <v>54568.154345330833</v>
      </c>
      <c r="K22" s="166">
        <v>53058.363222536122</v>
      </c>
      <c r="L22" s="166">
        <v>49001.839523186281</v>
      </c>
      <c r="M22" s="166">
        <v>45278.557727616753</v>
      </c>
      <c r="N22" s="166">
        <v>52501.96324445778</v>
      </c>
      <c r="O22" s="166">
        <v>49580.031273891669</v>
      </c>
      <c r="P22" s="166">
        <v>40157.895072237632</v>
      </c>
      <c r="Q22" s="166">
        <v>36366.240580155485</v>
      </c>
      <c r="R22" s="166">
        <v>37520.755474980106</v>
      </c>
      <c r="S22" s="166">
        <v>45167.261613569979</v>
      </c>
      <c r="T22" s="166">
        <v>33471.106093807241</v>
      </c>
      <c r="U22" s="166">
        <v>38346.768191529773</v>
      </c>
      <c r="V22" s="166">
        <v>35740.307853928432</v>
      </c>
      <c r="W22" s="166">
        <v>36935.289823416984</v>
      </c>
      <c r="X22" s="166">
        <v>34354.734806210967</v>
      </c>
      <c r="Y22" s="166">
        <v>33101.673277359048</v>
      </c>
      <c r="Z22" s="166">
        <v>37756.782859872081</v>
      </c>
      <c r="AA22" s="166">
        <v>33147.552469429385</v>
      </c>
      <c r="AB22" s="166">
        <v>34786.37702044443</v>
      </c>
      <c r="AC22" s="166">
        <v>31241.587219787903</v>
      </c>
      <c r="AD22" s="166">
        <v>31937.21761252837</v>
      </c>
      <c r="AE22" s="166">
        <v>27016.6648061304</v>
      </c>
      <c r="AF22" s="166">
        <v>25884.760842021489</v>
      </c>
      <c r="AG22" s="166">
        <v>24794.446813272483</v>
      </c>
      <c r="AH22" s="166">
        <v>24726.391891732565</v>
      </c>
      <c r="AI22" s="166">
        <v>25020.254954843374</v>
      </c>
      <c r="AJ22" s="166">
        <v>21954.63118318409</v>
      </c>
      <c r="AK22" s="166">
        <v>21323.68710208148</v>
      </c>
      <c r="AL22" s="166">
        <v>22913.784371398891</v>
      </c>
    </row>
    <row r="23" spans="2:38" s="149" customFormat="1" ht="18.75" customHeight="1">
      <c r="B23" s="18" t="s">
        <v>17</v>
      </c>
      <c r="C23" s="167">
        <v>128635.75238570393</v>
      </c>
      <c r="D23" s="167">
        <v>131347.16999883461</v>
      </c>
      <c r="E23" s="167">
        <v>123327.066038768</v>
      </c>
      <c r="F23" s="167">
        <v>133859.34804022455</v>
      </c>
      <c r="G23" s="167">
        <v>128334.47633420298</v>
      </c>
      <c r="H23" s="167">
        <v>128972.62177055083</v>
      </c>
      <c r="I23" s="167">
        <v>142276.78700517098</v>
      </c>
      <c r="J23" s="167">
        <v>138271.90289474413</v>
      </c>
      <c r="K23" s="167">
        <v>131921.28753293259</v>
      </c>
      <c r="L23" s="167">
        <v>119789.44891837421</v>
      </c>
      <c r="M23" s="167">
        <v>117779.45111189155</v>
      </c>
      <c r="N23" s="167">
        <v>131144.78954170473</v>
      </c>
      <c r="O23" s="167">
        <v>121124.45199514131</v>
      </c>
      <c r="P23" s="167">
        <v>120825.89043921554</v>
      </c>
      <c r="Q23" s="167">
        <v>113197.60762141945</v>
      </c>
      <c r="R23" s="167">
        <v>110838.01371237295</v>
      </c>
      <c r="S23" s="167">
        <v>112590.06812198208</v>
      </c>
      <c r="T23" s="167">
        <v>86220.623127616389</v>
      </c>
      <c r="U23" s="167">
        <v>106150.04420652427</v>
      </c>
      <c r="V23" s="167">
        <v>98553.896834048675</v>
      </c>
      <c r="W23" s="167">
        <v>105018.30355101622</v>
      </c>
      <c r="X23" s="167">
        <v>87729.821452693257</v>
      </c>
      <c r="Y23" s="167">
        <v>93820.96746949626</v>
      </c>
      <c r="Z23" s="167">
        <v>99744.177445992973</v>
      </c>
      <c r="AA23" s="167">
        <v>83096.820386204156</v>
      </c>
      <c r="AB23" s="167">
        <v>87522.820124727936</v>
      </c>
      <c r="AC23" s="167">
        <v>90498.627073212556</v>
      </c>
      <c r="AD23" s="167">
        <v>88786.864771467561</v>
      </c>
      <c r="AE23" s="167">
        <v>88509.637673037418</v>
      </c>
      <c r="AF23" s="167">
        <v>95307.004245219825</v>
      </c>
      <c r="AG23" s="167">
        <v>94663.785129221651</v>
      </c>
      <c r="AH23" s="167">
        <v>90804.772857234493</v>
      </c>
      <c r="AI23" s="167">
        <v>83938.162483414955</v>
      </c>
      <c r="AJ23" s="167">
        <v>78292.958027972069</v>
      </c>
      <c r="AK23" s="167">
        <v>76863.210351288886</v>
      </c>
      <c r="AL23" s="167">
        <v>78455.990446595533</v>
      </c>
    </row>
    <row r="24" spans="2:38" s="149" customFormat="1" ht="18.75" customHeight="1">
      <c r="B24" s="89" t="s">
        <v>70</v>
      </c>
      <c r="C24" s="166">
        <v>11764.620568945887</v>
      </c>
      <c r="D24" s="166">
        <v>8412.7636157315064</v>
      </c>
      <c r="E24" s="166">
        <v>6400.6946506484437</v>
      </c>
      <c r="F24" s="166">
        <v>5138.2686939272753</v>
      </c>
      <c r="G24" s="166">
        <v>4760.9365712301105</v>
      </c>
      <c r="H24" s="166">
        <v>3982.871688103909</v>
      </c>
      <c r="I24" s="166">
        <v>3119.6950580000471</v>
      </c>
      <c r="J24" s="166">
        <v>3013.0383396387815</v>
      </c>
      <c r="K24" s="166">
        <v>3024.0872568069499</v>
      </c>
      <c r="L24" s="166">
        <v>2582.4574749402213</v>
      </c>
      <c r="M24" s="166">
        <v>2313.5667739257301</v>
      </c>
      <c r="N24" s="166">
        <v>1896.0879800737109</v>
      </c>
      <c r="O24" s="166">
        <v>1933.971652178765</v>
      </c>
      <c r="P24" s="166">
        <v>2011.9630686339683</v>
      </c>
      <c r="Q24" s="166">
        <v>1727.0704109021735</v>
      </c>
      <c r="R24" s="166">
        <v>1760.4168502487698</v>
      </c>
      <c r="S24" s="166">
        <v>1602.7560873703294</v>
      </c>
      <c r="T24" s="166">
        <v>1329.2382437037691</v>
      </c>
      <c r="U24" s="166">
        <v>1352.9798053649693</v>
      </c>
      <c r="V24" s="166">
        <v>1378.7321690438939</v>
      </c>
      <c r="W24" s="166">
        <v>1337.2326435290533</v>
      </c>
      <c r="X24" s="166">
        <v>1236.2455393354835</v>
      </c>
      <c r="Y24" s="166">
        <v>1026.5723594091071</v>
      </c>
      <c r="Z24" s="166">
        <v>1065.6327165482221</v>
      </c>
      <c r="AA24" s="166">
        <v>997.98636569204768</v>
      </c>
      <c r="AB24" s="166">
        <v>995.83999271830987</v>
      </c>
      <c r="AC24" s="166">
        <v>1032.3431236671811</v>
      </c>
      <c r="AD24" s="166">
        <v>852.35153847877689</v>
      </c>
      <c r="AE24" s="166">
        <v>760.38466870599041</v>
      </c>
      <c r="AF24" s="166">
        <v>916.77027282880363</v>
      </c>
      <c r="AG24" s="166">
        <v>787.7139986049782</v>
      </c>
      <c r="AH24" s="166">
        <v>980.41902434765598</v>
      </c>
      <c r="AI24" s="166">
        <v>859.4810410533305</v>
      </c>
      <c r="AJ24" s="166">
        <v>856.8472018878806</v>
      </c>
      <c r="AK24" s="166">
        <v>597.06178903252533</v>
      </c>
      <c r="AL24" s="166">
        <v>664.74818721082329</v>
      </c>
    </row>
    <row r="25" spans="2:38" s="149" customFormat="1" ht="18.75" customHeight="1">
      <c r="B25" s="1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</row>
    <row r="26" spans="2:38" s="10" customFormat="1" ht="18.75" customHeight="1">
      <c r="B26" s="152" t="s">
        <v>14</v>
      </c>
      <c r="C26" s="164">
        <f>SUMIF(C27:C30,"&lt;1E+307")</f>
        <v>160347.11464582197</v>
      </c>
      <c r="D26" s="164">
        <f t="shared" ref="D26:AD26" si="15">SUMIF(D27:D30,"&lt;1E+307")</f>
        <v>163514.86003220663</v>
      </c>
      <c r="E26" s="164">
        <f t="shared" si="15"/>
        <v>169457.03966599185</v>
      </c>
      <c r="F26" s="164">
        <f t="shared" si="15"/>
        <v>173837.91006264201</v>
      </c>
      <c r="G26" s="164">
        <f t="shared" si="15"/>
        <v>169969.30591860661</v>
      </c>
      <c r="H26" s="164">
        <f t="shared" si="15"/>
        <v>173615.97299244627</v>
      </c>
      <c r="I26" s="164">
        <f t="shared" si="15"/>
        <v>173264.36507184218</v>
      </c>
      <c r="J26" s="164">
        <f t="shared" si="15"/>
        <v>173776.8822366753</v>
      </c>
      <c r="K26" s="164">
        <f t="shared" si="15"/>
        <v>177130.19619954596</v>
      </c>
      <c r="L26" s="164">
        <f t="shared" si="15"/>
        <v>182335.61834812493</v>
      </c>
      <c r="M26" s="164">
        <f t="shared" si="15"/>
        <v>178581.44126310237</v>
      </c>
      <c r="N26" s="164">
        <f t="shared" si="15"/>
        <v>174797.2299729785</v>
      </c>
      <c r="O26" s="164">
        <f t="shared" si="15"/>
        <v>172748.12266197315</v>
      </c>
      <c r="P26" s="164">
        <f t="shared" si="15"/>
        <v>166121.88123901992</v>
      </c>
      <c r="Q26" s="164">
        <f t="shared" si="15"/>
        <v>166083.6530629411</v>
      </c>
      <c r="R26" s="164">
        <f t="shared" si="15"/>
        <v>159530.89023719591</v>
      </c>
      <c r="S26" s="164">
        <f t="shared" si="15"/>
        <v>160728.27239903956</v>
      </c>
      <c r="T26" s="164">
        <f t="shared" si="15"/>
        <v>150962.74749702192</v>
      </c>
      <c r="U26" s="164">
        <f t="shared" si="15"/>
        <v>150540.36620626331</v>
      </c>
      <c r="V26" s="164">
        <f t="shared" si="15"/>
        <v>150116.77910730758</v>
      </c>
      <c r="W26" s="164">
        <f t="shared" si="15"/>
        <v>150726.04770756786</v>
      </c>
      <c r="X26" s="164">
        <f t="shared" si="15"/>
        <v>152316.55960174807</v>
      </c>
      <c r="Y26" s="164">
        <f t="shared" si="15"/>
        <v>150786.61871565142</v>
      </c>
      <c r="Z26" s="164">
        <f t="shared" si="15"/>
        <v>154669.67730723412</v>
      </c>
      <c r="AA26" s="164">
        <f t="shared" si="15"/>
        <v>156235.61253022464</v>
      </c>
      <c r="AB26" s="164">
        <f t="shared" si="15"/>
        <v>159612.55881686838</v>
      </c>
      <c r="AC26" s="164">
        <f t="shared" si="15"/>
        <v>162333.56320768842</v>
      </c>
      <c r="AD26" s="164">
        <f t="shared" si="15"/>
        <v>165620.10798608445</v>
      </c>
      <c r="AE26" s="164">
        <f t="shared" ref="AE26:AF26" si="16">SUMIF(AE27:AE30,"&lt;1E+307")</f>
        <v>160971.73854683954</v>
      </c>
      <c r="AF26" s="164">
        <f t="shared" si="16"/>
        <v>161920.68955459466</v>
      </c>
      <c r="AG26" s="164">
        <f t="shared" ref="AG26" si="17">SUMIF(AG27:AG30,"&lt;1E+307")</f>
        <v>144295.76196866159</v>
      </c>
      <c r="AH26" s="164">
        <f t="shared" ref="AH26" si="18">SUMIF(AH27:AH30,"&lt;1E+307")</f>
        <v>145204.02158045885</v>
      </c>
      <c r="AI26" s="164">
        <f t="shared" ref="AI26:AL26" si="19">SUMIF(AI27:AI30,"&lt;1E+307")</f>
        <v>146444.60731011891</v>
      </c>
      <c r="AJ26" s="164">
        <f t="shared" si="19"/>
        <v>142906.58814696694</v>
      </c>
      <c r="AK26" s="164">
        <f t="shared" si="19"/>
        <v>142612.50742990762</v>
      </c>
      <c r="AL26" s="164">
        <f t="shared" si="19"/>
        <v>144685.38251194978</v>
      </c>
    </row>
    <row r="27" spans="2:38" s="149" customFormat="1" ht="18.75" customHeight="1">
      <c r="B27" s="18" t="s">
        <v>4</v>
      </c>
      <c r="C27" s="167">
        <v>2310.4786664437547</v>
      </c>
      <c r="D27" s="167">
        <v>2227.7030560605326</v>
      </c>
      <c r="E27" s="167">
        <v>2264.4625149818316</v>
      </c>
      <c r="F27" s="167">
        <v>2178.4526010572731</v>
      </c>
      <c r="G27" s="167">
        <v>2160.1096738477891</v>
      </c>
      <c r="H27" s="167">
        <v>2266.7127579542203</v>
      </c>
      <c r="I27" s="167">
        <v>2182.4985538743331</v>
      </c>
      <c r="J27" s="167">
        <v>2292.8227897254369</v>
      </c>
      <c r="K27" s="167">
        <v>2304.0245636092736</v>
      </c>
      <c r="L27" s="167">
        <v>2345.8488183459235</v>
      </c>
      <c r="M27" s="167">
        <v>2467.4990434870119</v>
      </c>
      <c r="N27" s="167">
        <v>2384.5692863471945</v>
      </c>
      <c r="O27" s="167">
        <v>2274.5462145656543</v>
      </c>
      <c r="P27" s="167">
        <v>2261.6745800441863</v>
      </c>
      <c r="Q27" s="167">
        <v>2233.5144285689621</v>
      </c>
      <c r="R27" s="167">
        <v>2259.5169985939401</v>
      </c>
      <c r="S27" s="167">
        <v>2312.7494146259073</v>
      </c>
      <c r="T27" s="167">
        <v>2381.7617323397617</v>
      </c>
      <c r="U27" s="167">
        <v>2405.9870063114076</v>
      </c>
      <c r="V27" s="167">
        <v>2259.8821750905845</v>
      </c>
      <c r="W27" s="167">
        <v>2247.8837957775372</v>
      </c>
      <c r="X27" s="167">
        <v>2270.2360234975827</v>
      </c>
      <c r="Y27" s="167">
        <v>2157.9850479990837</v>
      </c>
      <c r="Z27" s="167">
        <v>1950.0792859224</v>
      </c>
      <c r="AA27" s="167">
        <v>1971.587983117927</v>
      </c>
      <c r="AB27" s="167">
        <v>2057.1686750252061</v>
      </c>
      <c r="AC27" s="167">
        <v>2064.3012219386528</v>
      </c>
      <c r="AD27" s="167">
        <v>2001.8248341216704</v>
      </c>
      <c r="AE27" s="167">
        <v>1993.9108328866482</v>
      </c>
      <c r="AF27" s="167">
        <v>2054.5601856074531</v>
      </c>
      <c r="AG27" s="167">
        <v>919.85995404987784</v>
      </c>
      <c r="AH27" s="167">
        <v>709.41055591043505</v>
      </c>
      <c r="AI27" s="167">
        <v>1030.8440850078546</v>
      </c>
      <c r="AJ27" s="167">
        <v>1082.6146285749569</v>
      </c>
      <c r="AK27" s="167">
        <v>1087.3169550600105</v>
      </c>
      <c r="AL27" s="167">
        <v>1093.27136313916</v>
      </c>
    </row>
    <row r="28" spans="2:38" s="149" customFormat="1" ht="18.75" customHeight="1">
      <c r="B28" s="89" t="s">
        <v>5</v>
      </c>
      <c r="C28" s="166">
        <v>151889.81330714215</v>
      </c>
      <c r="D28" s="166">
        <v>155595.14598139288</v>
      </c>
      <c r="E28" s="166">
        <v>161489.78370319278</v>
      </c>
      <c r="F28" s="166">
        <v>165982.57329196954</v>
      </c>
      <c r="G28" s="166">
        <v>162377.14021545876</v>
      </c>
      <c r="H28" s="166">
        <v>166451.96865095897</v>
      </c>
      <c r="I28" s="166">
        <v>166484.90652577611</v>
      </c>
      <c r="J28" s="166">
        <v>167393.05004157082</v>
      </c>
      <c r="K28" s="166">
        <v>170835.30356452271</v>
      </c>
      <c r="L28" s="166">
        <v>176348.41557477193</v>
      </c>
      <c r="M28" s="166">
        <v>172541.33206006695</v>
      </c>
      <c r="N28" s="166">
        <v>169013.72482618538</v>
      </c>
      <c r="O28" s="166">
        <v>167277.59464892084</v>
      </c>
      <c r="P28" s="166">
        <v>160359.96047495314</v>
      </c>
      <c r="Q28" s="166">
        <v>160329.85814630083</v>
      </c>
      <c r="R28" s="166">
        <v>153733.56975231646</v>
      </c>
      <c r="S28" s="166">
        <v>155007.54952794607</v>
      </c>
      <c r="T28" s="166">
        <v>145414.17113142399</v>
      </c>
      <c r="U28" s="166">
        <v>144777.91166262812</v>
      </c>
      <c r="V28" s="166">
        <v>144976.10859860847</v>
      </c>
      <c r="W28" s="166">
        <v>145430.37756851461</v>
      </c>
      <c r="X28" s="166">
        <v>147121.7282113861</v>
      </c>
      <c r="Y28" s="166">
        <v>145739.66369713497</v>
      </c>
      <c r="Z28" s="166">
        <v>149816.72791497593</v>
      </c>
      <c r="AA28" s="166">
        <v>151444.01604102465</v>
      </c>
      <c r="AB28" s="166">
        <v>154675.03398506003</v>
      </c>
      <c r="AC28" s="166">
        <v>157431.79582196823</v>
      </c>
      <c r="AD28" s="166">
        <v>160958.11467700594</v>
      </c>
      <c r="AE28" s="166">
        <v>156409.22343226604</v>
      </c>
      <c r="AF28" s="166">
        <v>157196.3610440084</v>
      </c>
      <c r="AG28" s="166">
        <v>140845.56932867819</v>
      </c>
      <c r="AH28" s="166">
        <v>142074.57607129059</v>
      </c>
      <c r="AI28" s="166">
        <v>143302.8582046412</v>
      </c>
      <c r="AJ28" s="166">
        <v>139702.2144788742</v>
      </c>
      <c r="AK28" s="166">
        <v>139371.62290261564</v>
      </c>
      <c r="AL28" s="166">
        <v>141456.52498246622</v>
      </c>
    </row>
    <row r="29" spans="2:38" s="149" customFormat="1" ht="18.75" customHeight="1">
      <c r="B29" s="18" t="s">
        <v>6</v>
      </c>
      <c r="C29" s="167">
        <v>3133.0527320841961</v>
      </c>
      <c r="D29" s="167">
        <v>2794.0968961693961</v>
      </c>
      <c r="E29" s="167">
        <v>2743.1161315286909</v>
      </c>
      <c r="F29" s="167">
        <v>2731.9633032748648</v>
      </c>
      <c r="G29" s="167">
        <v>2541.1580291933719</v>
      </c>
      <c r="H29" s="167">
        <v>2458.4855252335069</v>
      </c>
      <c r="I29" s="167">
        <v>2336.9014534769767</v>
      </c>
      <c r="J29" s="167">
        <v>2159.808791050983</v>
      </c>
      <c r="K29" s="167">
        <v>2040.2798390341045</v>
      </c>
      <c r="L29" s="167">
        <v>1927.7201009164946</v>
      </c>
      <c r="M29" s="167">
        <v>1944.6853852596926</v>
      </c>
      <c r="N29" s="167">
        <v>1784.0985852379447</v>
      </c>
      <c r="O29" s="167">
        <v>1654.2021204575315</v>
      </c>
      <c r="P29" s="167">
        <v>1623.2047066431398</v>
      </c>
      <c r="Q29" s="167">
        <v>1533.2492215178149</v>
      </c>
      <c r="R29" s="167">
        <v>1425.6500054136284</v>
      </c>
      <c r="S29" s="167">
        <v>1288.5447469839507</v>
      </c>
      <c r="T29" s="167">
        <v>1245.7747539629859</v>
      </c>
      <c r="U29" s="167">
        <v>1213.013529735668</v>
      </c>
      <c r="V29" s="167">
        <v>1096.897224705142</v>
      </c>
      <c r="W29" s="167">
        <v>1117.7218971482589</v>
      </c>
      <c r="X29" s="167">
        <v>1128.9843044624356</v>
      </c>
      <c r="Y29" s="167">
        <v>1039.4128690238626</v>
      </c>
      <c r="Z29" s="167">
        <v>1057.3378436043126</v>
      </c>
      <c r="AA29" s="167">
        <v>945.94268485711518</v>
      </c>
      <c r="AB29" s="167">
        <v>1021.8557177759561</v>
      </c>
      <c r="AC29" s="167">
        <v>1056.5456248731634</v>
      </c>
      <c r="AD29" s="167">
        <v>876.52244299919039</v>
      </c>
      <c r="AE29" s="167">
        <v>733.98171353791679</v>
      </c>
      <c r="AF29" s="167">
        <v>831.98531774765854</v>
      </c>
      <c r="AG29" s="167">
        <v>830.43215761172451</v>
      </c>
      <c r="AH29" s="167">
        <v>853.28929779594273</v>
      </c>
      <c r="AI29" s="167">
        <v>809.60330400356111</v>
      </c>
      <c r="AJ29" s="167">
        <v>776.52486472951489</v>
      </c>
      <c r="AK29" s="167">
        <v>742.98890697408763</v>
      </c>
      <c r="AL29" s="167">
        <v>739.87613255845054</v>
      </c>
    </row>
    <row r="30" spans="2:38" s="149" customFormat="1" ht="18.75" customHeight="1">
      <c r="B30" s="89" t="s">
        <v>7</v>
      </c>
      <c r="C30" s="166">
        <v>3013.7699401518535</v>
      </c>
      <c r="D30" s="166">
        <v>2897.9140985838208</v>
      </c>
      <c r="E30" s="166">
        <v>2959.6773162885547</v>
      </c>
      <c r="F30" s="166">
        <v>2944.9208663403469</v>
      </c>
      <c r="G30" s="166">
        <v>2890.8980001066684</v>
      </c>
      <c r="H30" s="166">
        <v>2438.8060582995809</v>
      </c>
      <c r="I30" s="166">
        <v>2260.0585387147626</v>
      </c>
      <c r="J30" s="166">
        <v>1931.2006143280469</v>
      </c>
      <c r="K30" s="166">
        <v>1950.5882323798767</v>
      </c>
      <c r="L30" s="166">
        <v>1713.6338540905997</v>
      </c>
      <c r="M30" s="166">
        <v>1627.9247742887362</v>
      </c>
      <c r="N30" s="166">
        <v>1614.8372752079858</v>
      </c>
      <c r="O30" s="166">
        <v>1541.7796780290846</v>
      </c>
      <c r="P30" s="166">
        <v>1877.0414773794382</v>
      </c>
      <c r="Q30" s="166">
        <v>1987.0312665534586</v>
      </c>
      <c r="R30" s="166">
        <v>2112.1534808718907</v>
      </c>
      <c r="S30" s="166">
        <v>2119.4287094836395</v>
      </c>
      <c r="T30" s="166">
        <v>1921.039879295148</v>
      </c>
      <c r="U30" s="166">
        <v>2143.4540075880846</v>
      </c>
      <c r="V30" s="166">
        <v>1783.8911089033802</v>
      </c>
      <c r="W30" s="166">
        <v>1930.0644461274467</v>
      </c>
      <c r="X30" s="166">
        <v>1795.6110624019398</v>
      </c>
      <c r="Y30" s="166">
        <v>1849.5571014935272</v>
      </c>
      <c r="Z30" s="166">
        <v>1845.5322627314804</v>
      </c>
      <c r="AA30" s="166">
        <v>1874.0658212249366</v>
      </c>
      <c r="AB30" s="166">
        <v>1858.5004390071758</v>
      </c>
      <c r="AC30" s="166">
        <v>1780.9205389083643</v>
      </c>
      <c r="AD30" s="166">
        <v>1783.6460319576524</v>
      </c>
      <c r="AE30" s="166">
        <v>1834.6225681489498</v>
      </c>
      <c r="AF30" s="166">
        <v>1837.7830072311431</v>
      </c>
      <c r="AG30" s="166">
        <v>1699.9005283217944</v>
      </c>
      <c r="AH30" s="166">
        <v>1566.7456554618821</v>
      </c>
      <c r="AI30" s="166">
        <v>1301.3017164662872</v>
      </c>
      <c r="AJ30" s="166">
        <v>1345.234174788246</v>
      </c>
      <c r="AK30" s="166">
        <v>1410.5786652578886</v>
      </c>
      <c r="AL30" s="166">
        <v>1395.7100337859524</v>
      </c>
    </row>
    <row r="31" spans="2:38" s="149" customFormat="1" ht="18.75" customHeight="1">
      <c r="B31" s="1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2:38" s="10" customFormat="1" ht="18.75" customHeight="1">
      <c r="B32" s="152" t="s">
        <v>15</v>
      </c>
      <c r="C32" s="164">
        <f>SUMIF(C33:C40,"&lt;1E+307")</f>
        <v>14550.210602825306</v>
      </c>
      <c r="D32" s="164">
        <f t="shared" ref="D32:AF32" si="20">SUMIF(D33:D40,"&lt;1E+307")</f>
        <v>12620.907520174349</v>
      </c>
      <c r="E32" s="164">
        <f t="shared" si="20"/>
        <v>11802.655755141632</v>
      </c>
      <c r="F32" s="164">
        <f t="shared" si="20"/>
        <v>11905.860762290646</v>
      </c>
      <c r="G32" s="164">
        <f t="shared" si="20"/>
        <v>11740.017741980126</v>
      </c>
      <c r="H32" s="164">
        <f t="shared" si="20"/>
        <v>11949.027013952858</v>
      </c>
      <c r="I32" s="164">
        <f t="shared" si="20"/>
        <v>13137.153738449728</v>
      </c>
      <c r="J32" s="164">
        <f t="shared" si="20"/>
        <v>12058.461513621789</v>
      </c>
      <c r="K32" s="164">
        <f t="shared" si="20"/>
        <v>11675.770498694712</v>
      </c>
      <c r="L32" s="164">
        <f t="shared" si="20"/>
        <v>11947.80558069063</v>
      </c>
      <c r="M32" s="164">
        <f t="shared" si="20"/>
        <v>11074.268822743858</v>
      </c>
      <c r="N32" s="164">
        <f t="shared" si="20"/>
        <v>11333.06206061181</v>
      </c>
      <c r="O32" s="164">
        <f t="shared" si="20"/>
        <v>10912.257010221876</v>
      </c>
      <c r="P32" s="164">
        <f t="shared" si="20"/>
        <v>10535.987363295659</v>
      </c>
      <c r="Q32" s="164">
        <f t="shared" si="20"/>
        <v>10200.632286873561</v>
      </c>
      <c r="R32" s="164">
        <f t="shared" si="20"/>
        <v>9893.4589344781998</v>
      </c>
      <c r="S32" s="164">
        <f t="shared" si="20"/>
        <v>10180.222355669512</v>
      </c>
      <c r="T32" s="164">
        <f t="shared" si="20"/>
        <v>9499.5540914240919</v>
      </c>
      <c r="U32" s="164">
        <f t="shared" si="20"/>
        <v>10078.750359153066</v>
      </c>
      <c r="V32" s="164">
        <f t="shared" si="20"/>
        <v>9576.0617079894473</v>
      </c>
      <c r="W32" s="164">
        <f t="shared" si="20"/>
        <v>9961.2684130007819</v>
      </c>
      <c r="X32" s="164">
        <f t="shared" si="20"/>
        <v>10576.387862698282</v>
      </c>
      <c r="Y32" s="164">
        <f t="shared" si="20"/>
        <v>10345.521691510776</v>
      </c>
      <c r="Z32" s="164">
        <f t="shared" si="20"/>
        <v>10327.39861853955</v>
      </c>
      <c r="AA32" s="164">
        <f t="shared" si="20"/>
        <v>11165.876611151456</v>
      </c>
      <c r="AB32" s="164">
        <f t="shared" si="20"/>
        <v>10770.087743042337</v>
      </c>
      <c r="AC32" s="164">
        <f t="shared" si="20"/>
        <v>10889.092804495514</v>
      </c>
      <c r="AD32" s="164">
        <f t="shared" si="20"/>
        <v>10232.609546624077</v>
      </c>
      <c r="AE32" s="164">
        <f t="shared" si="20"/>
        <v>10107.204400067641</v>
      </c>
      <c r="AF32" s="164">
        <f t="shared" si="20"/>
        <v>9931.714318732973</v>
      </c>
      <c r="AG32" s="164">
        <f t="shared" ref="AG32" si="21">SUMIF(AG33:AG40,"&lt;1E+307")</f>
        <v>10121.373067857023</v>
      </c>
      <c r="AH32" s="164">
        <f t="shared" ref="AH32" si="22">SUMIF(AH33:AH40,"&lt;1E+307")</f>
        <v>10145.14580389458</v>
      </c>
      <c r="AI32" s="164">
        <f t="shared" ref="AI32:AL32" si="23">SUMIF(AI33:AI40,"&lt;1E+307")</f>
        <v>9829.4447682338814</v>
      </c>
      <c r="AJ32" s="164">
        <f t="shared" si="23"/>
        <v>9699.6008548955742</v>
      </c>
      <c r="AK32" s="164">
        <f t="shared" si="23"/>
        <v>9644.8270153296726</v>
      </c>
      <c r="AL32" s="164">
        <f t="shared" si="23"/>
        <v>9899.7589490515857</v>
      </c>
    </row>
    <row r="33" spans="2:38" s="149" customFormat="1" ht="18.75" customHeight="1">
      <c r="B33" s="18" t="s">
        <v>18</v>
      </c>
      <c r="C33" s="167">
        <v>11359.757288523628</v>
      </c>
      <c r="D33" s="167">
        <v>9723.5980991663146</v>
      </c>
      <c r="E33" s="167">
        <v>9177.3068708220908</v>
      </c>
      <c r="F33" s="167">
        <v>9603.2927452986296</v>
      </c>
      <c r="G33" s="167">
        <v>9564.6516090785954</v>
      </c>
      <c r="H33" s="167">
        <v>9821.2567604509022</v>
      </c>
      <c r="I33" s="167">
        <v>10881.444270292272</v>
      </c>
      <c r="J33" s="167">
        <v>9703.1265431560987</v>
      </c>
      <c r="K33" s="167">
        <v>9192.8260330967842</v>
      </c>
      <c r="L33" s="167">
        <v>9303.7181330047588</v>
      </c>
      <c r="M33" s="167">
        <v>8419.1193915908698</v>
      </c>
      <c r="N33" s="167">
        <v>8668.1055760486724</v>
      </c>
      <c r="O33" s="167">
        <v>8360.3885828472175</v>
      </c>
      <c r="P33" s="167">
        <v>8005.4812094190338</v>
      </c>
      <c r="Q33" s="167">
        <v>7774.0749272775593</v>
      </c>
      <c r="R33" s="167">
        <v>7517.3200034910224</v>
      </c>
      <c r="S33" s="167">
        <v>7825.0308894218279</v>
      </c>
      <c r="T33" s="167">
        <v>7091.9490556215151</v>
      </c>
      <c r="U33" s="167">
        <v>7578.6806229262484</v>
      </c>
      <c r="V33" s="167">
        <v>7110.0700831361855</v>
      </c>
      <c r="W33" s="167">
        <v>7444.2774233363907</v>
      </c>
      <c r="X33" s="167">
        <v>8064.9922098081888</v>
      </c>
      <c r="Y33" s="167">
        <v>7709.6170168608387</v>
      </c>
      <c r="Z33" s="167">
        <v>7590.0301466334904</v>
      </c>
      <c r="AA33" s="167">
        <v>8262.6928661159272</v>
      </c>
      <c r="AB33" s="167">
        <v>7842.1311254139546</v>
      </c>
      <c r="AC33" s="167">
        <v>7966.4638300963716</v>
      </c>
      <c r="AD33" s="167">
        <v>7362.375347524071</v>
      </c>
      <c r="AE33" s="167">
        <v>7251.8065671996428</v>
      </c>
      <c r="AF33" s="167">
        <v>7200.9107416841143</v>
      </c>
      <c r="AG33" s="167">
        <v>7492.87188438864</v>
      </c>
      <c r="AH33" s="167">
        <v>7589.6877301188952</v>
      </c>
      <c r="AI33" s="167">
        <v>7310.3430822854589</v>
      </c>
      <c r="AJ33" s="167">
        <v>7265.5979556958873</v>
      </c>
      <c r="AK33" s="167">
        <v>7263.370048757989</v>
      </c>
      <c r="AL33" s="167">
        <v>7262.4357207905614</v>
      </c>
    </row>
    <row r="34" spans="2:38" s="149" customFormat="1" ht="18.75" customHeight="1">
      <c r="B34" s="89" t="s">
        <v>29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66">
        <v>0</v>
      </c>
      <c r="R34" s="166">
        <v>0</v>
      </c>
      <c r="S34" s="166">
        <v>0</v>
      </c>
      <c r="T34" s="166">
        <v>0</v>
      </c>
      <c r="U34" s="166">
        <v>0</v>
      </c>
      <c r="V34" s="166">
        <v>0</v>
      </c>
      <c r="W34" s="166">
        <v>0</v>
      </c>
      <c r="X34" s="166">
        <v>0</v>
      </c>
      <c r="Y34" s="166">
        <v>0</v>
      </c>
      <c r="Z34" s="166">
        <v>0</v>
      </c>
      <c r="AA34" s="166">
        <v>0</v>
      </c>
      <c r="AB34" s="166">
        <v>0</v>
      </c>
      <c r="AC34" s="166">
        <v>0</v>
      </c>
      <c r="AD34" s="166">
        <v>0</v>
      </c>
      <c r="AE34" s="166">
        <v>0</v>
      </c>
      <c r="AF34" s="166">
        <v>0</v>
      </c>
      <c r="AG34" s="166">
        <v>0</v>
      </c>
      <c r="AH34" s="166">
        <v>0</v>
      </c>
      <c r="AI34" s="166">
        <v>0</v>
      </c>
      <c r="AJ34" s="166">
        <v>0</v>
      </c>
      <c r="AK34" s="166">
        <v>0</v>
      </c>
      <c r="AL34" s="166">
        <v>0</v>
      </c>
    </row>
    <row r="35" spans="2:38" s="149" customFormat="1" ht="18.75" customHeight="1">
      <c r="B35" s="18" t="s">
        <v>30</v>
      </c>
      <c r="C35" s="167">
        <v>0</v>
      </c>
      <c r="D35" s="167">
        <v>0</v>
      </c>
      <c r="E35" s="167">
        <v>0</v>
      </c>
      <c r="F35" s="167">
        <v>0</v>
      </c>
      <c r="G35" s="167">
        <v>0</v>
      </c>
      <c r="H35" s="167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0</v>
      </c>
      <c r="AE35" s="167">
        <v>0</v>
      </c>
      <c r="AF35" s="167">
        <v>0</v>
      </c>
      <c r="AG35" s="167">
        <v>0</v>
      </c>
      <c r="AH35" s="167">
        <v>0</v>
      </c>
      <c r="AI35" s="167">
        <v>0</v>
      </c>
      <c r="AJ35" s="167">
        <v>0</v>
      </c>
      <c r="AK35" s="167">
        <v>0</v>
      </c>
      <c r="AL35" s="167">
        <v>0</v>
      </c>
    </row>
    <row r="36" spans="2:38" s="149" customFormat="1" ht="18.75" customHeight="1">
      <c r="B36" s="89" t="s">
        <v>31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  <c r="H36" s="166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66">
        <v>0</v>
      </c>
      <c r="R36" s="166">
        <v>0</v>
      </c>
      <c r="S36" s="166">
        <v>0</v>
      </c>
      <c r="T36" s="166">
        <v>0</v>
      </c>
      <c r="U36" s="166">
        <v>0</v>
      </c>
      <c r="V36" s="166">
        <v>0</v>
      </c>
      <c r="W36" s="166">
        <v>0</v>
      </c>
      <c r="X36" s="166">
        <v>0</v>
      </c>
      <c r="Y36" s="166">
        <v>0</v>
      </c>
      <c r="Z36" s="166">
        <v>0</v>
      </c>
      <c r="AA36" s="166">
        <v>0</v>
      </c>
      <c r="AB36" s="166">
        <v>0</v>
      </c>
      <c r="AC36" s="166">
        <v>0</v>
      </c>
      <c r="AD36" s="166">
        <v>0</v>
      </c>
      <c r="AE36" s="166">
        <v>0</v>
      </c>
      <c r="AF36" s="166">
        <v>0</v>
      </c>
      <c r="AG36" s="166">
        <v>0</v>
      </c>
      <c r="AH36" s="166">
        <v>0</v>
      </c>
      <c r="AI36" s="166">
        <v>0</v>
      </c>
      <c r="AJ36" s="166">
        <v>0</v>
      </c>
      <c r="AK36" s="166">
        <v>0</v>
      </c>
      <c r="AL36" s="166">
        <v>0</v>
      </c>
    </row>
    <row r="37" spans="2:38" s="149" customFormat="1" ht="18.75" customHeight="1">
      <c r="B37" s="18" t="s">
        <v>32</v>
      </c>
      <c r="C37" s="167">
        <v>2200.0091746331905</v>
      </c>
      <c r="D37" s="167">
        <v>1986.5760969733769</v>
      </c>
      <c r="E37" s="167">
        <v>1748.9646671605524</v>
      </c>
      <c r="F37" s="167">
        <v>1465.2322748345618</v>
      </c>
      <c r="G37" s="167">
        <v>1324.7076951720933</v>
      </c>
      <c r="H37" s="167">
        <v>1279.7427271810482</v>
      </c>
      <c r="I37" s="167">
        <v>1380.3173560578052</v>
      </c>
      <c r="J37" s="167">
        <v>1480.0880651919651</v>
      </c>
      <c r="K37" s="167">
        <v>1588.2379417548243</v>
      </c>
      <c r="L37" s="167">
        <v>1714.948024152578</v>
      </c>
      <c r="M37" s="167">
        <v>1695.3908956279254</v>
      </c>
      <c r="N37" s="167">
        <v>1694.2857411657083</v>
      </c>
      <c r="O37" s="167">
        <v>1592.1183269642136</v>
      </c>
      <c r="P37" s="167">
        <v>1568.2396797721244</v>
      </c>
      <c r="Q37" s="167">
        <v>1482.4714665403244</v>
      </c>
      <c r="R37" s="167">
        <v>1427.512953315917</v>
      </c>
      <c r="S37" s="167">
        <v>1438.4972361264711</v>
      </c>
      <c r="T37" s="167">
        <v>1477.1324157155898</v>
      </c>
      <c r="U37" s="167">
        <v>1544.7135040892247</v>
      </c>
      <c r="V37" s="167">
        <v>1521.9677557275461</v>
      </c>
      <c r="W37" s="167">
        <v>1549.0008412794591</v>
      </c>
      <c r="X37" s="167">
        <v>1593.2639130940479</v>
      </c>
      <c r="Y37" s="167">
        <v>1692.0846129581978</v>
      </c>
      <c r="Z37" s="167">
        <v>1824.5301506517635</v>
      </c>
      <c r="AA37" s="167">
        <v>1917.2560062283042</v>
      </c>
      <c r="AB37" s="167">
        <v>1905.7889653428215</v>
      </c>
      <c r="AC37" s="167">
        <v>1881.7710978389953</v>
      </c>
      <c r="AD37" s="167">
        <v>1937.6313819510826</v>
      </c>
      <c r="AE37" s="167">
        <v>2047.4384710724457</v>
      </c>
      <c r="AF37" s="167">
        <v>2038.8381471044406</v>
      </c>
      <c r="AG37" s="167">
        <v>2009.7765735279881</v>
      </c>
      <c r="AH37" s="167">
        <v>1982.6148498016075</v>
      </c>
      <c r="AI37" s="167">
        <v>1994.6207401739057</v>
      </c>
      <c r="AJ37" s="167">
        <v>1938.6849032029788</v>
      </c>
      <c r="AK37" s="167">
        <v>1906.5042304271078</v>
      </c>
      <c r="AL37" s="167">
        <v>2155.4966169523809</v>
      </c>
    </row>
    <row r="38" spans="2:38" s="149" customFormat="1" ht="18.75" customHeight="1">
      <c r="B38" s="89" t="s">
        <v>33</v>
      </c>
      <c r="C38" s="166">
        <v>479.99756126848592</v>
      </c>
      <c r="D38" s="166">
        <v>437.08767815465711</v>
      </c>
      <c r="E38" s="166">
        <v>427.55946715898801</v>
      </c>
      <c r="F38" s="166">
        <v>422.13570376145344</v>
      </c>
      <c r="G38" s="166">
        <v>448.57249918943671</v>
      </c>
      <c r="H38" s="166">
        <v>458.53290458490926</v>
      </c>
      <c r="I38" s="166">
        <v>484.76947595965026</v>
      </c>
      <c r="J38" s="166">
        <v>497.80342831372576</v>
      </c>
      <c r="K38" s="166">
        <v>524.10390455510424</v>
      </c>
      <c r="L38" s="166">
        <v>551.55649974929247</v>
      </c>
      <c r="M38" s="166">
        <v>593.13021403706205</v>
      </c>
      <c r="N38" s="166">
        <v>621.65452353742978</v>
      </c>
      <c r="O38" s="166">
        <v>639.95328540244543</v>
      </c>
      <c r="P38" s="166">
        <v>650.10104734449953</v>
      </c>
      <c r="Q38" s="166">
        <v>634.30897589167773</v>
      </c>
      <c r="R38" s="166">
        <v>641.09414255526031</v>
      </c>
      <c r="S38" s="166">
        <v>630.93302353321212</v>
      </c>
      <c r="T38" s="166">
        <v>647.56030921898764</v>
      </c>
      <c r="U38" s="166">
        <v>694.62878537759286</v>
      </c>
      <c r="V38" s="166">
        <v>676.7553568457173</v>
      </c>
      <c r="W38" s="166">
        <v>710.75347585693021</v>
      </c>
      <c r="X38" s="166">
        <v>654.02883303604756</v>
      </c>
      <c r="Y38" s="166">
        <v>689.90585683973961</v>
      </c>
      <c r="Z38" s="166">
        <v>672.55047587429522</v>
      </c>
      <c r="AA38" s="166">
        <v>749.704999659225</v>
      </c>
      <c r="AB38" s="166">
        <v>791.49504757356283</v>
      </c>
      <c r="AC38" s="166">
        <v>815.14216629614759</v>
      </c>
      <c r="AD38" s="166">
        <v>719.56657113292431</v>
      </c>
      <c r="AE38" s="166">
        <v>605.2506425715527</v>
      </c>
      <c r="AF38" s="166">
        <v>497.74816644041744</v>
      </c>
      <c r="AG38" s="166">
        <v>433.26538077639452</v>
      </c>
      <c r="AH38" s="166">
        <v>397.29616648607748</v>
      </c>
      <c r="AI38" s="166">
        <v>366.99928552651539</v>
      </c>
      <c r="AJ38" s="166">
        <v>347.51016650870753</v>
      </c>
      <c r="AK38" s="166">
        <v>330.20166651657502</v>
      </c>
      <c r="AL38" s="166">
        <v>329.44999999999982</v>
      </c>
    </row>
    <row r="39" spans="2:38" s="149" customFormat="1" ht="18.75" customHeight="1">
      <c r="B39" s="18" t="s">
        <v>34</v>
      </c>
      <c r="C39" s="167">
        <v>510.44657839999996</v>
      </c>
      <c r="D39" s="167">
        <v>473.6456458799999</v>
      </c>
      <c r="E39" s="167">
        <v>448.82474999999999</v>
      </c>
      <c r="F39" s="167">
        <v>415.20003839600002</v>
      </c>
      <c r="G39" s="167">
        <v>402.08593853999992</v>
      </c>
      <c r="H39" s="167">
        <v>389.494621736</v>
      </c>
      <c r="I39" s="167">
        <v>390.62263613999994</v>
      </c>
      <c r="J39" s="167">
        <v>377.44347695999994</v>
      </c>
      <c r="K39" s="167">
        <v>370.60261928800003</v>
      </c>
      <c r="L39" s="167">
        <v>377.58292378399995</v>
      </c>
      <c r="M39" s="167">
        <v>366.62832148799998</v>
      </c>
      <c r="N39" s="167">
        <v>349.01621985999992</v>
      </c>
      <c r="O39" s="167">
        <v>319.79681500800001</v>
      </c>
      <c r="P39" s="167">
        <v>312.16542676</v>
      </c>
      <c r="Q39" s="167">
        <v>309.77691716399994</v>
      </c>
      <c r="R39" s="167">
        <v>307.53183511599997</v>
      </c>
      <c r="S39" s="167">
        <v>285.76120658800005</v>
      </c>
      <c r="T39" s="167">
        <v>282.91231086800002</v>
      </c>
      <c r="U39" s="167">
        <v>260.72744675999996</v>
      </c>
      <c r="V39" s="167">
        <v>267.26851228000004</v>
      </c>
      <c r="W39" s="167">
        <v>257.23667252799999</v>
      </c>
      <c r="X39" s="167">
        <v>264.10290676</v>
      </c>
      <c r="Y39" s="167">
        <v>253.91420485199998</v>
      </c>
      <c r="Z39" s="167">
        <v>240.28784537999999</v>
      </c>
      <c r="AA39" s="167">
        <v>236.22273914799999</v>
      </c>
      <c r="AB39" s="167">
        <v>230.67260471200001</v>
      </c>
      <c r="AC39" s="167">
        <v>225.71571026399999</v>
      </c>
      <c r="AD39" s="167">
        <v>213.03624601600001</v>
      </c>
      <c r="AE39" s="167">
        <v>202.70871922399999</v>
      </c>
      <c r="AF39" s="167">
        <v>194.21726350399999</v>
      </c>
      <c r="AG39" s="167">
        <v>185.45922916399999</v>
      </c>
      <c r="AH39" s="167">
        <v>175.54705748800001</v>
      </c>
      <c r="AI39" s="167">
        <v>157.481660248</v>
      </c>
      <c r="AJ39" s="167">
        <v>147.80782948800001</v>
      </c>
      <c r="AK39" s="167">
        <v>144.75106962800001</v>
      </c>
      <c r="AL39" s="167">
        <v>152.37661130864171</v>
      </c>
    </row>
    <row r="40" spans="2:38" s="149" customFormat="1" ht="18.75" customHeight="1">
      <c r="B40" s="89" t="s">
        <v>35</v>
      </c>
      <c r="C40" s="166">
        <v>0</v>
      </c>
      <c r="D40" s="166">
        <v>0</v>
      </c>
      <c r="E40" s="166">
        <v>0</v>
      </c>
      <c r="F40" s="166">
        <v>0</v>
      </c>
      <c r="G40" s="166">
        <v>0</v>
      </c>
      <c r="H40" s="166">
        <v>0</v>
      </c>
      <c r="I40" s="166">
        <v>0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0</v>
      </c>
      <c r="V40" s="166">
        <v>0</v>
      </c>
      <c r="W40" s="166">
        <v>0</v>
      </c>
      <c r="X40" s="166">
        <v>0</v>
      </c>
      <c r="Y40" s="166">
        <v>0</v>
      </c>
      <c r="Z40" s="166">
        <v>0</v>
      </c>
      <c r="AA40" s="166">
        <v>0</v>
      </c>
      <c r="AB40" s="166">
        <v>0</v>
      </c>
      <c r="AC40" s="166">
        <v>0</v>
      </c>
      <c r="AD40" s="166">
        <v>0</v>
      </c>
      <c r="AE40" s="166">
        <v>0</v>
      </c>
      <c r="AF40" s="166">
        <v>0</v>
      </c>
      <c r="AG40" s="166">
        <v>0</v>
      </c>
      <c r="AH40" s="166">
        <v>0</v>
      </c>
      <c r="AI40" s="166">
        <v>0</v>
      </c>
      <c r="AJ40" s="166">
        <v>0</v>
      </c>
      <c r="AK40" s="166">
        <v>0</v>
      </c>
      <c r="AL40" s="166">
        <v>0</v>
      </c>
    </row>
    <row r="41" spans="2:38" s="149" customFormat="1" ht="18.75" customHeight="1">
      <c r="B41" s="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</row>
    <row r="42" spans="2:38" s="10" customFormat="1" ht="18.75" customHeight="1">
      <c r="B42" s="152" t="s">
        <v>16</v>
      </c>
      <c r="C42" s="164">
        <f>SUMIF(C43:C46,"&lt;1E+307")</f>
        <v>0</v>
      </c>
      <c r="D42" s="164">
        <f t="shared" ref="D42:AD42" si="24">SUMIF(D43:D46,"&lt;1E+307")</f>
        <v>0</v>
      </c>
      <c r="E42" s="164">
        <f t="shared" si="24"/>
        <v>0</v>
      </c>
      <c r="F42" s="164">
        <f t="shared" si="24"/>
        <v>0</v>
      </c>
      <c r="G42" s="164">
        <f t="shared" si="24"/>
        <v>0</v>
      </c>
      <c r="H42" s="164">
        <f t="shared" si="24"/>
        <v>0</v>
      </c>
      <c r="I42" s="164">
        <f t="shared" si="24"/>
        <v>0</v>
      </c>
      <c r="J42" s="164">
        <f t="shared" si="24"/>
        <v>0</v>
      </c>
      <c r="K42" s="164">
        <f t="shared" si="24"/>
        <v>0</v>
      </c>
      <c r="L42" s="164">
        <f t="shared" si="24"/>
        <v>0</v>
      </c>
      <c r="M42" s="164">
        <f t="shared" si="24"/>
        <v>0</v>
      </c>
      <c r="N42" s="164">
        <f t="shared" si="24"/>
        <v>0</v>
      </c>
      <c r="O42" s="164">
        <f t="shared" si="24"/>
        <v>0</v>
      </c>
      <c r="P42" s="164">
        <f t="shared" si="24"/>
        <v>0</v>
      </c>
      <c r="Q42" s="164">
        <f t="shared" si="24"/>
        <v>0</v>
      </c>
      <c r="R42" s="164">
        <f t="shared" si="24"/>
        <v>0</v>
      </c>
      <c r="S42" s="164">
        <f t="shared" si="24"/>
        <v>0</v>
      </c>
      <c r="T42" s="164">
        <f t="shared" si="24"/>
        <v>0</v>
      </c>
      <c r="U42" s="164">
        <f t="shared" si="24"/>
        <v>0</v>
      </c>
      <c r="V42" s="164">
        <f t="shared" si="24"/>
        <v>0</v>
      </c>
      <c r="W42" s="164">
        <f t="shared" si="24"/>
        <v>0</v>
      </c>
      <c r="X42" s="164">
        <f t="shared" si="24"/>
        <v>0</v>
      </c>
      <c r="Y42" s="164">
        <f t="shared" si="24"/>
        <v>0</v>
      </c>
      <c r="Z42" s="164">
        <f t="shared" si="24"/>
        <v>0</v>
      </c>
      <c r="AA42" s="164">
        <f t="shared" si="24"/>
        <v>0</v>
      </c>
      <c r="AB42" s="164">
        <f t="shared" si="24"/>
        <v>0</v>
      </c>
      <c r="AC42" s="164">
        <f t="shared" si="24"/>
        <v>0</v>
      </c>
      <c r="AD42" s="164">
        <f t="shared" si="24"/>
        <v>0</v>
      </c>
      <c r="AE42" s="164">
        <f t="shared" ref="AE42:AF42" si="25">SUMIF(AE43:AE46,"&lt;1E+307")</f>
        <v>0</v>
      </c>
      <c r="AF42" s="164">
        <f t="shared" si="25"/>
        <v>0</v>
      </c>
      <c r="AG42" s="164">
        <f t="shared" ref="AG42" si="26">SUMIF(AG43:AG46,"&lt;1E+307")</f>
        <v>0</v>
      </c>
      <c r="AH42" s="164">
        <f t="shared" ref="AH42" si="27">SUMIF(AH43:AH46,"&lt;1E+307")</f>
        <v>0</v>
      </c>
      <c r="AI42" s="164">
        <f t="shared" ref="AI42:AL42" si="28">SUMIF(AI43:AI46,"&lt;1E+307")</f>
        <v>0</v>
      </c>
      <c r="AJ42" s="164">
        <f t="shared" si="28"/>
        <v>0</v>
      </c>
      <c r="AK42" s="164">
        <f t="shared" si="28"/>
        <v>0</v>
      </c>
      <c r="AL42" s="164">
        <f t="shared" si="28"/>
        <v>0</v>
      </c>
    </row>
    <row r="43" spans="2:38" s="149" customFormat="1" ht="18.75" customHeight="1">
      <c r="B43" s="18" t="s">
        <v>19</v>
      </c>
      <c r="C43" s="167">
        <v>0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7">
        <v>0</v>
      </c>
      <c r="AI43" s="167">
        <v>0</v>
      </c>
      <c r="AJ43" s="167">
        <v>0</v>
      </c>
      <c r="AK43" s="167">
        <v>0</v>
      </c>
      <c r="AL43" s="167">
        <v>0</v>
      </c>
    </row>
    <row r="44" spans="2:38" s="149" customFormat="1" ht="18.75" customHeight="1">
      <c r="B44" s="89" t="s">
        <v>71</v>
      </c>
      <c r="C44" s="166">
        <v>0</v>
      </c>
      <c r="D44" s="166">
        <v>0</v>
      </c>
      <c r="E44" s="166">
        <v>0</v>
      </c>
      <c r="F44" s="166">
        <v>0</v>
      </c>
      <c r="G44" s="166">
        <v>0</v>
      </c>
      <c r="H44" s="166">
        <v>0</v>
      </c>
      <c r="I44" s="166">
        <v>0</v>
      </c>
      <c r="J44" s="166">
        <v>0</v>
      </c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66">
        <v>0</v>
      </c>
      <c r="R44" s="166">
        <v>0</v>
      </c>
      <c r="S44" s="166">
        <v>0</v>
      </c>
      <c r="T44" s="166">
        <v>0</v>
      </c>
      <c r="U44" s="166">
        <v>0</v>
      </c>
      <c r="V44" s="166">
        <v>0</v>
      </c>
      <c r="W44" s="166">
        <v>0</v>
      </c>
      <c r="X44" s="166">
        <v>0</v>
      </c>
      <c r="Y44" s="166">
        <v>0</v>
      </c>
      <c r="Z44" s="166">
        <v>0</v>
      </c>
      <c r="AA44" s="166">
        <v>0</v>
      </c>
      <c r="AB44" s="166">
        <v>0</v>
      </c>
      <c r="AC44" s="166">
        <v>0</v>
      </c>
      <c r="AD44" s="166">
        <v>0</v>
      </c>
      <c r="AE44" s="166">
        <v>0</v>
      </c>
      <c r="AF44" s="166">
        <v>0</v>
      </c>
      <c r="AG44" s="166">
        <v>0</v>
      </c>
      <c r="AH44" s="166">
        <v>0</v>
      </c>
      <c r="AI44" s="166">
        <v>0</v>
      </c>
      <c r="AJ44" s="166">
        <v>0</v>
      </c>
      <c r="AK44" s="166">
        <v>0</v>
      </c>
      <c r="AL44" s="166">
        <v>0</v>
      </c>
    </row>
    <row r="45" spans="2:38" s="149" customFormat="1" ht="18.75" customHeight="1">
      <c r="B45" s="18" t="s">
        <v>20</v>
      </c>
      <c r="C45" s="167">
        <v>0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167">
        <v>0</v>
      </c>
      <c r="AJ45" s="167">
        <v>0</v>
      </c>
      <c r="AK45" s="167">
        <v>0</v>
      </c>
      <c r="AL45" s="167">
        <v>0</v>
      </c>
    </row>
    <row r="46" spans="2:38" s="149" customFormat="1" ht="18.75" customHeight="1">
      <c r="B46" s="89" t="s">
        <v>28</v>
      </c>
      <c r="C46" s="166">
        <v>0</v>
      </c>
      <c r="D46" s="166">
        <v>0</v>
      </c>
      <c r="E46" s="166">
        <v>0</v>
      </c>
      <c r="F46" s="166">
        <v>0</v>
      </c>
      <c r="G46" s="166">
        <v>0</v>
      </c>
      <c r="H46" s="166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0</v>
      </c>
      <c r="V46" s="166">
        <v>0</v>
      </c>
      <c r="W46" s="166">
        <v>0</v>
      </c>
      <c r="X46" s="166">
        <v>0</v>
      </c>
      <c r="Y46" s="166">
        <v>0</v>
      </c>
      <c r="Z46" s="166">
        <v>0</v>
      </c>
      <c r="AA46" s="166">
        <v>0</v>
      </c>
      <c r="AB46" s="166">
        <v>0</v>
      </c>
      <c r="AC46" s="166">
        <v>0</v>
      </c>
      <c r="AD46" s="166">
        <v>0</v>
      </c>
      <c r="AE46" s="166">
        <v>0</v>
      </c>
      <c r="AF46" s="166">
        <v>0</v>
      </c>
      <c r="AG46" s="166">
        <v>0</v>
      </c>
      <c r="AH46" s="166">
        <v>0</v>
      </c>
      <c r="AI46" s="166">
        <v>0</v>
      </c>
      <c r="AJ46" s="166">
        <v>0</v>
      </c>
      <c r="AK46" s="166">
        <v>0</v>
      </c>
      <c r="AL46" s="166">
        <v>0</v>
      </c>
    </row>
    <row r="47" spans="2:38" s="149" customFormat="1" ht="18.75" customHeight="1">
      <c r="B47" s="18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</row>
    <row r="48" spans="2:38" s="10" customFormat="1" ht="18.75" customHeight="1">
      <c r="B48" s="152" t="s">
        <v>124</v>
      </c>
      <c r="C48" s="164">
        <f>SUMIF(C49:C54,"&lt;1E+307")</f>
        <v>26822.179506320361</v>
      </c>
      <c r="D48" s="164">
        <f t="shared" ref="D48:AH48" si="29">SUMIF(D49:D54,"&lt;1E+307")</f>
        <v>-34459.125715824186</v>
      </c>
      <c r="E48" s="164">
        <f t="shared" si="29"/>
        <v>-23044.618565608245</v>
      </c>
      <c r="F48" s="164">
        <f t="shared" si="29"/>
        <v>-40501.734714996688</v>
      </c>
      <c r="G48" s="164">
        <f t="shared" si="29"/>
        <v>-20678.6940868374</v>
      </c>
      <c r="H48" s="164">
        <f t="shared" si="29"/>
        <v>-13220.397159976788</v>
      </c>
      <c r="I48" s="164">
        <f t="shared" si="29"/>
        <v>-29913.100051521753</v>
      </c>
      <c r="J48" s="164">
        <f t="shared" si="29"/>
        <v>-17283.395283050137</v>
      </c>
      <c r="K48" s="164">
        <f t="shared" si="29"/>
        <v>-23717.472882850845</v>
      </c>
      <c r="L48" s="164">
        <f t="shared" si="29"/>
        <v>-20017.347441170212</v>
      </c>
      <c r="M48" s="164">
        <f t="shared" si="29"/>
        <v>-1566.1108616950733</v>
      </c>
      <c r="N48" s="164">
        <f t="shared" si="29"/>
        <v>-32784.695975207549</v>
      </c>
      <c r="O48" s="164">
        <f t="shared" si="29"/>
        <v>-15545.705281218658</v>
      </c>
      <c r="P48" s="164">
        <f t="shared" si="29"/>
        <v>2977.416325560831</v>
      </c>
      <c r="Q48" s="164">
        <f t="shared" si="29"/>
        <v>4010.331411649684</v>
      </c>
      <c r="R48" s="164">
        <f t="shared" si="29"/>
        <v>2154.7558549922196</v>
      </c>
      <c r="S48" s="164">
        <f t="shared" si="29"/>
        <v>10811.797687189852</v>
      </c>
      <c r="T48" s="164">
        <f t="shared" si="29"/>
        <v>11335.478425167898</v>
      </c>
      <c r="U48" s="164">
        <f t="shared" si="29"/>
        <v>-10834.571433051789</v>
      </c>
      <c r="V48" s="164">
        <f t="shared" si="29"/>
        <v>-5741.5486549077295</v>
      </c>
      <c r="W48" s="164">
        <f t="shared" si="29"/>
        <v>1723.9315495683149</v>
      </c>
      <c r="X48" s="164">
        <f t="shared" si="29"/>
        <v>992.30450035813692</v>
      </c>
      <c r="Y48" s="164">
        <f t="shared" si="29"/>
        <v>-11081.86108029052</v>
      </c>
      <c r="Z48" s="164">
        <f t="shared" si="29"/>
        <v>-4572.5003787766891</v>
      </c>
      <c r="AA48" s="164">
        <f t="shared" si="29"/>
        <v>4605.3489345830458</v>
      </c>
      <c r="AB48" s="164">
        <f t="shared" si="29"/>
        <v>-2262.436227513509</v>
      </c>
      <c r="AC48" s="164">
        <f t="shared" si="29"/>
        <v>2912.8910729866984</v>
      </c>
      <c r="AD48" s="164">
        <f t="shared" si="29"/>
        <v>3492.0057459119234</v>
      </c>
      <c r="AE48" s="164">
        <f t="shared" si="29"/>
        <v>50790.956788447191</v>
      </c>
      <c r="AF48" s="164">
        <f t="shared" si="29"/>
        <v>32656.405578533475</v>
      </c>
      <c r="AG48" s="164">
        <f t="shared" si="29"/>
        <v>39475.122835268558</v>
      </c>
      <c r="AH48" s="164">
        <f t="shared" si="29"/>
        <v>35641.890463813914</v>
      </c>
      <c r="AI48" s="164">
        <f t="shared" ref="AI48:AL48" si="30">SUMIF(AI49:AI54,"&lt;1E+307")</f>
        <v>49850.088232502079</v>
      </c>
      <c r="AJ48" s="164">
        <f t="shared" si="30"/>
        <v>62632.088880866628</v>
      </c>
      <c r="AK48" s="164">
        <f t="shared" si="30"/>
        <v>48207.029052169535</v>
      </c>
      <c r="AL48" s="164">
        <f t="shared" si="30"/>
        <v>18815.197656557633</v>
      </c>
    </row>
    <row r="49" spans="2:38" s="149" customFormat="1" ht="18.75" customHeight="1">
      <c r="B49" s="18" t="s">
        <v>125</v>
      </c>
      <c r="C49" s="167">
        <v>-26920.547001044622</v>
      </c>
      <c r="D49" s="167">
        <v>-81157.846747909163</v>
      </c>
      <c r="E49" s="167">
        <v>-85441.106247809148</v>
      </c>
      <c r="F49" s="167">
        <v>-85532.074810348669</v>
      </c>
      <c r="G49" s="167">
        <v>-77637.300274397508</v>
      </c>
      <c r="H49" s="167">
        <v>-69352.900127781788</v>
      </c>
      <c r="I49" s="167">
        <v>-73296.865422909745</v>
      </c>
      <c r="J49" s="167">
        <v>-72545.021768517137</v>
      </c>
      <c r="K49" s="167">
        <v>-69240.29101124483</v>
      </c>
      <c r="L49" s="167">
        <v>-71230.518049614213</v>
      </c>
      <c r="M49" s="167">
        <v>-53251.159426818034</v>
      </c>
      <c r="N49" s="167">
        <v>-69408.932727079533</v>
      </c>
      <c r="O49" s="167">
        <v>-67919.256043963702</v>
      </c>
      <c r="P49" s="167">
        <v>-35129.585301861174</v>
      </c>
      <c r="Q49" s="167">
        <v>-34411.158731411328</v>
      </c>
      <c r="R49" s="167">
        <v>-33804.862078823746</v>
      </c>
      <c r="S49" s="167">
        <v>-32862.755259790465</v>
      </c>
      <c r="T49" s="167">
        <v>-29922.327243950418</v>
      </c>
      <c r="U49" s="167">
        <v>-49849.397287356791</v>
      </c>
      <c r="V49" s="167">
        <v>-47379.267185609722</v>
      </c>
      <c r="W49" s="167">
        <v>-40167.483663947663</v>
      </c>
      <c r="X49" s="167">
        <v>-44643.281228632855</v>
      </c>
      <c r="Y49" s="167">
        <v>-47068.111524655527</v>
      </c>
      <c r="Z49" s="167">
        <v>-52426.251061071693</v>
      </c>
      <c r="AA49" s="167">
        <v>-42807.900127307948</v>
      </c>
      <c r="AB49" s="167">
        <v>-45317.300669866796</v>
      </c>
      <c r="AC49" s="167">
        <v>-46396.655036830423</v>
      </c>
      <c r="AD49" s="167">
        <v>-42385.99829042676</v>
      </c>
      <c r="AE49" s="167">
        <v>6911.2943491032092</v>
      </c>
      <c r="AF49" s="167">
        <v>-14297.383797212497</v>
      </c>
      <c r="AG49" s="167">
        <v>-2395.668924687458</v>
      </c>
      <c r="AH49" s="167">
        <v>-4723.2658766215882</v>
      </c>
      <c r="AI49" s="167">
        <v>2207.9063189085537</v>
      </c>
      <c r="AJ49" s="167">
        <v>7117.7203395051129</v>
      </c>
      <c r="AK49" s="167">
        <v>1648.0808410240402</v>
      </c>
      <c r="AL49" s="167">
        <v>-19700.330136373155</v>
      </c>
    </row>
    <row r="50" spans="2:38" s="149" customFormat="1" ht="18.75" customHeight="1">
      <c r="B50" s="89" t="s">
        <v>126</v>
      </c>
      <c r="C50" s="166">
        <v>25789.586287646995</v>
      </c>
      <c r="D50" s="166">
        <v>14857.780434154995</v>
      </c>
      <c r="E50" s="166">
        <v>28170.701629581901</v>
      </c>
      <c r="F50" s="166">
        <v>21066.022028968968</v>
      </c>
      <c r="G50" s="166">
        <v>30922.867579960999</v>
      </c>
      <c r="H50" s="166">
        <v>27291.702021174991</v>
      </c>
      <c r="I50" s="166">
        <v>14030.684424406001</v>
      </c>
      <c r="J50" s="166">
        <v>26274.145282961999</v>
      </c>
      <c r="K50" s="166">
        <v>25262.742731180999</v>
      </c>
      <c r="L50" s="166">
        <v>23498.224811316009</v>
      </c>
      <c r="M50" s="166">
        <v>29090.342785261968</v>
      </c>
      <c r="N50" s="166">
        <v>17145.822284080983</v>
      </c>
      <c r="O50" s="166">
        <v>36857.08359002904</v>
      </c>
      <c r="P50" s="166">
        <v>11967.616029715999</v>
      </c>
      <c r="Q50" s="166">
        <v>22526.913371082002</v>
      </c>
      <c r="R50" s="166">
        <v>22154.998611835956</v>
      </c>
      <c r="S50" s="166">
        <v>27446.973150364305</v>
      </c>
      <c r="T50" s="166">
        <v>32591.76130376431</v>
      </c>
      <c r="U50" s="166">
        <v>12347.775910013001</v>
      </c>
      <c r="V50" s="166">
        <v>14819.756037970003</v>
      </c>
      <c r="W50" s="166">
        <v>18688.378002410984</v>
      </c>
      <c r="X50" s="166">
        <v>21500.687876080978</v>
      </c>
      <c r="Y50" s="166">
        <v>8738.4786704189992</v>
      </c>
      <c r="Z50" s="166">
        <v>20322.301201020007</v>
      </c>
      <c r="AA50" s="166">
        <v>19717.455436353986</v>
      </c>
      <c r="AB50" s="166">
        <v>15189.248094645985</v>
      </c>
      <c r="AC50" s="166">
        <v>19088.681445605136</v>
      </c>
      <c r="AD50" s="166">
        <v>23517.238745111688</v>
      </c>
      <c r="AE50" s="166">
        <v>8601.5056602149944</v>
      </c>
      <c r="AF50" s="166">
        <v>19138.148573942985</v>
      </c>
      <c r="AG50" s="166">
        <v>15922.466571767007</v>
      </c>
      <c r="AH50" s="166">
        <v>19302.6772949855</v>
      </c>
      <c r="AI50" s="166">
        <v>15449.12329141251</v>
      </c>
      <c r="AJ50" s="166">
        <v>29580.5558935995</v>
      </c>
      <c r="AK50" s="166">
        <v>16833.121517111496</v>
      </c>
      <c r="AL50" s="166">
        <v>6305.0044174766244</v>
      </c>
    </row>
    <row r="51" spans="2:38" s="149" customFormat="1" ht="18.75" customHeight="1">
      <c r="B51" s="18" t="s">
        <v>129</v>
      </c>
      <c r="C51" s="167">
        <v>22519.882259027992</v>
      </c>
      <c r="D51" s="167">
        <v>23645.625734142985</v>
      </c>
      <c r="E51" s="167">
        <v>26057.213253352998</v>
      </c>
      <c r="F51" s="167">
        <v>16734.07394299201</v>
      </c>
      <c r="G51" s="167">
        <v>21368.092806311011</v>
      </c>
      <c r="H51" s="167">
        <v>24397.145461280008</v>
      </c>
      <c r="I51" s="167">
        <v>24453.752269690987</v>
      </c>
      <c r="J51" s="167">
        <v>25143.830247270005</v>
      </c>
      <c r="K51" s="167">
        <v>17744.581243343982</v>
      </c>
      <c r="L51" s="167">
        <v>25038.568246082996</v>
      </c>
      <c r="M51" s="167">
        <v>22408.444162125994</v>
      </c>
      <c r="N51" s="167">
        <v>17665.358380926995</v>
      </c>
      <c r="O51" s="167">
        <v>16189.887369120006</v>
      </c>
      <c r="P51" s="167">
        <v>26756.870297847006</v>
      </c>
      <c r="Q51" s="167">
        <v>20766.322735886009</v>
      </c>
      <c r="R51" s="167">
        <v>21219.053919500006</v>
      </c>
      <c r="S51" s="167">
        <v>23865.88435951401</v>
      </c>
      <c r="T51" s="167">
        <v>17122.86280968901</v>
      </c>
      <c r="U51" s="167">
        <v>23817.691718926999</v>
      </c>
      <c r="V51" s="167">
        <v>23776.479977985993</v>
      </c>
      <c r="W51" s="167">
        <v>19313.908632267994</v>
      </c>
      <c r="X51" s="167">
        <v>19294.366067782012</v>
      </c>
      <c r="Y51" s="167">
        <v>21349.580622972011</v>
      </c>
      <c r="Z51" s="167">
        <v>20303.985517934998</v>
      </c>
      <c r="AA51" s="167">
        <v>20885.725216308012</v>
      </c>
      <c r="AB51" s="167">
        <v>20996.835882421004</v>
      </c>
      <c r="AC51" s="167">
        <v>23088.13911025599</v>
      </c>
      <c r="AD51" s="167">
        <v>16966.033514350991</v>
      </c>
      <c r="AE51" s="167">
        <v>29277.314982194985</v>
      </c>
      <c r="AF51" s="167">
        <v>24685.162915896988</v>
      </c>
      <c r="AG51" s="167">
        <v>24821.269335678004</v>
      </c>
      <c r="AH51" s="167">
        <v>20943.475610818994</v>
      </c>
      <c r="AI51" s="167">
        <v>27212.405357112006</v>
      </c>
      <c r="AJ51" s="167">
        <v>19580.725334798019</v>
      </c>
      <c r="AK51" s="167">
        <v>21469.119420292001</v>
      </c>
      <c r="AL51" s="167">
        <v>25264.54159473057</v>
      </c>
    </row>
    <row r="52" spans="2:38" s="149" customFormat="1" ht="18.75" customHeight="1">
      <c r="B52" s="89" t="s">
        <v>130</v>
      </c>
      <c r="C52" s="166">
        <v>3586.6683263510004</v>
      </c>
      <c r="D52" s="166">
        <v>3830.8146665309991</v>
      </c>
      <c r="E52" s="166">
        <v>4225.407511028</v>
      </c>
      <c r="F52" s="166">
        <v>3215.1321318500009</v>
      </c>
      <c r="G52" s="166">
        <v>3716.0792833289997</v>
      </c>
      <c r="H52" s="166">
        <v>3879.425160068</v>
      </c>
      <c r="I52" s="166">
        <v>4097.2020407379996</v>
      </c>
      <c r="J52" s="166">
        <v>3975.8149082319997</v>
      </c>
      <c r="K52" s="166">
        <v>3249.5375605069994</v>
      </c>
      <c r="L52" s="166">
        <v>4288.3251666429987</v>
      </c>
      <c r="M52" s="166">
        <v>3988.132044378</v>
      </c>
      <c r="N52" s="166">
        <v>3560.4327401739988</v>
      </c>
      <c r="O52" s="166">
        <v>3072.5854565919994</v>
      </c>
      <c r="P52" s="166">
        <v>4575.7584561580015</v>
      </c>
      <c r="Q52" s="166">
        <v>3603.6459170499984</v>
      </c>
      <c r="R52" s="166">
        <v>3766.4220941879994</v>
      </c>
      <c r="S52" s="166">
        <v>4246.8475063080023</v>
      </c>
      <c r="T52" s="166">
        <v>3423.4003547229995</v>
      </c>
      <c r="U52" s="166">
        <v>3885.2907705700009</v>
      </c>
      <c r="V52" s="166">
        <v>4060.6963104180013</v>
      </c>
      <c r="W52" s="166">
        <v>3480.0875424600013</v>
      </c>
      <c r="X52" s="166">
        <v>3805.2004751519999</v>
      </c>
      <c r="Y52" s="166">
        <v>3834.0481235339994</v>
      </c>
      <c r="Z52" s="166">
        <v>3777.8236967359994</v>
      </c>
      <c r="AA52" s="166">
        <v>3777.9365347729986</v>
      </c>
      <c r="AB52" s="166">
        <v>3750.4955344260006</v>
      </c>
      <c r="AC52" s="166">
        <v>4224.5705128069958</v>
      </c>
      <c r="AD52" s="166">
        <v>3397.4468440610003</v>
      </c>
      <c r="AE52" s="166">
        <v>5561.9539347380005</v>
      </c>
      <c r="AF52" s="166">
        <v>4395.0265308390017</v>
      </c>
      <c r="AG52" s="166">
        <v>4572.5932827709985</v>
      </c>
      <c r="AH52" s="166">
        <v>4104.4698313800009</v>
      </c>
      <c r="AI52" s="166">
        <v>5153.8390693280007</v>
      </c>
      <c r="AJ52" s="166">
        <v>3544.2964626449998</v>
      </c>
      <c r="AK52" s="166">
        <v>3478.5349851789992</v>
      </c>
      <c r="AL52" s="166">
        <v>4462.0479035337767</v>
      </c>
    </row>
    <row r="53" spans="2:38" s="149" customFormat="1" ht="18.75" customHeight="1">
      <c r="B53" s="18" t="s">
        <v>131</v>
      </c>
      <c r="C53" s="167">
        <v>3141.447660338999</v>
      </c>
      <c r="D53" s="167">
        <v>3246.4621102560009</v>
      </c>
      <c r="E53" s="167">
        <v>3268.7981932380003</v>
      </c>
      <c r="F53" s="167">
        <v>3127.1380395409997</v>
      </c>
      <c r="G53" s="167">
        <v>3266.6567889590997</v>
      </c>
      <c r="H53" s="167">
        <v>3314.4162832819998</v>
      </c>
      <c r="I53" s="167">
        <v>3421.0877885529976</v>
      </c>
      <c r="J53" s="167">
        <v>3466.6766980030002</v>
      </c>
      <c r="K53" s="167">
        <v>3246.4022953620015</v>
      </c>
      <c r="L53" s="167">
        <v>3536.3673184019981</v>
      </c>
      <c r="M53" s="167">
        <v>3493.6358583569991</v>
      </c>
      <c r="N53" s="167">
        <v>3506.4162816900007</v>
      </c>
      <c r="O53" s="167">
        <v>3468.1786310039993</v>
      </c>
      <c r="P53" s="167">
        <v>3695.3680397009994</v>
      </c>
      <c r="Q53" s="167">
        <v>3785.6422800430009</v>
      </c>
      <c r="R53" s="167">
        <v>3785.569156292001</v>
      </c>
      <c r="S53" s="167">
        <v>3920.2969947940005</v>
      </c>
      <c r="T53" s="167">
        <v>3783.571384941999</v>
      </c>
      <c r="U53" s="167">
        <v>4045.9444357950006</v>
      </c>
      <c r="V53" s="167">
        <v>4106.3664223279966</v>
      </c>
      <c r="W53" s="167">
        <v>3989.8475313770005</v>
      </c>
      <c r="X53" s="167">
        <v>4225.434431976003</v>
      </c>
      <c r="Y53" s="167">
        <v>4331.6199884400003</v>
      </c>
      <c r="Z53" s="167">
        <v>4527.3465966039994</v>
      </c>
      <c r="AA53" s="167">
        <v>4749.1237344559977</v>
      </c>
      <c r="AB53" s="167">
        <v>4652.3291988602987</v>
      </c>
      <c r="AC53" s="167">
        <v>4383.5287691490003</v>
      </c>
      <c r="AD53" s="167">
        <v>4275.0995638150025</v>
      </c>
      <c r="AE53" s="167">
        <v>5066.2840001960012</v>
      </c>
      <c r="AF53" s="167">
        <v>4505.3704250669989</v>
      </c>
      <c r="AG53" s="167">
        <v>4609.4909087399983</v>
      </c>
      <c r="AH53" s="167">
        <v>4242.1605992510003</v>
      </c>
      <c r="AI53" s="167">
        <v>4493.4868617410011</v>
      </c>
      <c r="AJ53" s="167">
        <v>4223.3349413190026</v>
      </c>
      <c r="AK53" s="167">
        <v>4370.5496875629997</v>
      </c>
      <c r="AL53" s="167">
        <v>4224.0351251898164</v>
      </c>
    </row>
    <row r="54" spans="2:38" s="149" customFormat="1" ht="18.75" customHeight="1">
      <c r="B54" s="89" t="s">
        <v>127</v>
      </c>
      <c r="C54" s="166">
        <v>-1294.8580260000001</v>
      </c>
      <c r="D54" s="166">
        <v>1118.0380869999999</v>
      </c>
      <c r="E54" s="166">
        <v>674.36709499999984</v>
      </c>
      <c r="F54" s="166">
        <v>887.97395199999971</v>
      </c>
      <c r="G54" s="166">
        <v>-2315.090271</v>
      </c>
      <c r="H54" s="166">
        <v>-2750.185958</v>
      </c>
      <c r="I54" s="166">
        <v>-2618.9611519999999</v>
      </c>
      <c r="J54" s="166">
        <v>-3598.8406509999995</v>
      </c>
      <c r="K54" s="166">
        <v>-3980.4457019999995</v>
      </c>
      <c r="L54" s="166">
        <v>-5148.314934</v>
      </c>
      <c r="M54" s="166">
        <v>-7295.5062849999995</v>
      </c>
      <c r="N54" s="166">
        <v>-5253.7929349999986</v>
      </c>
      <c r="O54" s="166">
        <v>-7214.1842840000008</v>
      </c>
      <c r="P54" s="166">
        <v>-8888.6111959999998</v>
      </c>
      <c r="Q54" s="166">
        <v>-12261.034161</v>
      </c>
      <c r="R54" s="166">
        <v>-14966.425847999997</v>
      </c>
      <c r="S54" s="166">
        <v>-15805.449063999999</v>
      </c>
      <c r="T54" s="166">
        <v>-15663.790184000001</v>
      </c>
      <c r="U54" s="166">
        <v>-5081.8769809999985</v>
      </c>
      <c r="V54" s="166">
        <v>-5125.5802179999991</v>
      </c>
      <c r="W54" s="166">
        <v>-3580.8064950000007</v>
      </c>
      <c r="X54" s="166">
        <v>-3190.103122</v>
      </c>
      <c r="Y54" s="166">
        <v>-2267.4769609999998</v>
      </c>
      <c r="Z54" s="166">
        <v>-1077.7063299999998</v>
      </c>
      <c r="AA54" s="166">
        <v>-1716.9918599999999</v>
      </c>
      <c r="AB54" s="166">
        <v>-1534.0442680000003</v>
      </c>
      <c r="AC54" s="166">
        <v>-1475.3737280000003</v>
      </c>
      <c r="AD54" s="166">
        <v>-2277.8146309999993</v>
      </c>
      <c r="AE54" s="166">
        <v>-4627.3961380000001</v>
      </c>
      <c r="AF54" s="166">
        <v>-5769.9190699999999</v>
      </c>
      <c r="AG54" s="166">
        <v>-8055.0283389999995</v>
      </c>
      <c r="AH54" s="166">
        <v>-8227.6269959999991</v>
      </c>
      <c r="AI54" s="166">
        <v>-4666.6726659999986</v>
      </c>
      <c r="AJ54" s="166">
        <v>-1414.5440909999995</v>
      </c>
      <c r="AK54" s="166">
        <v>407.62260099999935</v>
      </c>
      <c r="AL54" s="166">
        <v>-1740.1012480000004</v>
      </c>
    </row>
    <row r="55" spans="2:38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L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9" customWidth="1"/>
    <col min="34" max="35" width="10.85546875" style="87" customWidth="1"/>
    <col min="36" max="38" width="10.85546875" style="149" customWidth="1"/>
    <col min="39" max="16384" width="11.42578125" style="2"/>
  </cols>
  <sheetData>
    <row r="1" spans="2:38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2:38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2:38" ht="22.5" customHeight="1">
      <c r="B3" s="3" t="s">
        <v>37</v>
      </c>
      <c r="C3" s="23" t="s">
        <v>153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4">
        <v>43831</v>
      </c>
      <c r="AH4" s="154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5"/>
      <c r="AH5" s="141"/>
      <c r="AI5" s="26"/>
      <c r="AJ5" s="165"/>
      <c r="AK5" s="165"/>
      <c r="AL5" s="165"/>
    </row>
    <row r="6" spans="2:38" s="10" customFormat="1" ht="18.75" customHeight="1">
      <c r="B6" s="24" t="s">
        <v>22</v>
      </c>
      <c r="C6" s="25">
        <f t="shared" ref="C6:AH6" si="0">SUM(C9,C14,C21,C26,C32,C42)</f>
        <v>133689.55874569755</v>
      </c>
      <c r="D6" s="25">
        <f t="shared" si="0"/>
        <v>127416.62448685564</v>
      </c>
      <c r="E6" s="25">
        <f t="shared" si="0"/>
        <v>123511.52344269793</v>
      </c>
      <c r="F6" s="25">
        <f t="shared" si="0"/>
        <v>124408.12817186804</v>
      </c>
      <c r="G6" s="25">
        <f t="shared" si="0"/>
        <v>119595.59581375567</v>
      </c>
      <c r="H6" s="25">
        <f t="shared" si="0"/>
        <v>116975.42764450856</v>
      </c>
      <c r="I6" s="25">
        <f t="shared" si="0"/>
        <v>113908.38181609492</v>
      </c>
      <c r="J6" s="25">
        <f t="shared" si="0"/>
        <v>108702.55760192675</v>
      </c>
      <c r="K6" s="25">
        <f t="shared" si="0"/>
        <v>102920.68445738812</v>
      </c>
      <c r="L6" s="25">
        <f t="shared" si="0"/>
        <v>101718.51790817075</v>
      </c>
      <c r="M6" s="25">
        <f t="shared" si="0"/>
        <v>97139.52142327468</v>
      </c>
      <c r="N6" s="25">
        <f t="shared" si="0"/>
        <v>93016.495781346661</v>
      </c>
      <c r="O6" s="25">
        <f t="shared" si="0"/>
        <v>88315.393476775149</v>
      </c>
      <c r="P6" s="25">
        <f t="shared" si="0"/>
        <v>84315.196586523947</v>
      </c>
      <c r="Q6" s="25">
        <f t="shared" si="0"/>
        <v>77522.686756274023</v>
      </c>
      <c r="R6" s="25">
        <f t="shared" si="0"/>
        <v>73593.125737385344</v>
      </c>
      <c r="S6" s="25">
        <f t="shared" si="0"/>
        <v>69191.392363417675</v>
      </c>
      <c r="T6" s="25">
        <f t="shared" si="0"/>
        <v>66650.568766289289</v>
      </c>
      <c r="U6" s="25">
        <f t="shared" si="0"/>
        <v>65238.732313377412</v>
      </c>
      <c r="V6" s="25">
        <f t="shared" si="0"/>
        <v>62376.018630451268</v>
      </c>
      <c r="W6" s="25">
        <f t="shared" si="0"/>
        <v>60994.638904624029</v>
      </c>
      <c r="X6" s="25">
        <f t="shared" si="0"/>
        <v>59397.2599197245</v>
      </c>
      <c r="Y6" s="25">
        <f t="shared" si="0"/>
        <v>59734.482513832969</v>
      </c>
      <c r="Z6" s="25">
        <f t="shared" si="0"/>
        <v>58787.633070913143</v>
      </c>
      <c r="AA6" s="25">
        <f t="shared" si="0"/>
        <v>57264.733118159304</v>
      </c>
      <c r="AB6" s="25">
        <f t="shared" si="0"/>
        <v>56673.752291400146</v>
      </c>
      <c r="AC6" s="25">
        <f t="shared" si="0"/>
        <v>54945.073471856253</v>
      </c>
      <c r="AD6" s="25">
        <f t="shared" si="0"/>
        <v>54088.932837341301</v>
      </c>
      <c r="AE6" s="25">
        <f t="shared" si="0"/>
        <v>51836.401328914231</v>
      </c>
      <c r="AF6" s="25">
        <f t="shared" si="0"/>
        <v>49006.14637170457</v>
      </c>
      <c r="AG6" s="164">
        <f t="shared" si="0"/>
        <v>47774.664641774798</v>
      </c>
      <c r="AH6" s="140">
        <f t="shared" si="0"/>
        <v>46670.780590382768</v>
      </c>
      <c r="AI6" s="164">
        <f t="shared" ref="AI6:AL6" si="1">SUM(AI9,AI14,AI21,AI26,AI32,AI42)</f>
        <v>45584.136306477711</v>
      </c>
      <c r="AJ6" s="164">
        <f t="shared" si="1"/>
        <v>44930.610401348371</v>
      </c>
      <c r="AK6" s="164">
        <f t="shared" si="1"/>
        <v>44120.080491486537</v>
      </c>
      <c r="AL6" s="164">
        <f t="shared" si="1"/>
        <v>43987.401945056845</v>
      </c>
    </row>
    <row r="7" spans="2:38" s="10" customFormat="1" ht="18.75" customHeight="1">
      <c r="B7" s="22" t="s">
        <v>23</v>
      </c>
      <c r="C7" s="26">
        <f t="shared" ref="C7:AH7" si="2">SUM(C9,C14,C21,C26,C32,C42,C48)</f>
        <v>142140.77209130977</v>
      </c>
      <c r="D7" s="26">
        <f t="shared" si="2"/>
        <v>135052.42022355372</v>
      </c>
      <c r="E7" s="26">
        <f t="shared" si="2"/>
        <v>130614.50397318936</v>
      </c>
      <c r="F7" s="26">
        <f t="shared" si="2"/>
        <v>134338.32601147631</v>
      </c>
      <c r="G7" s="26">
        <f t="shared" si="2"/>
        <v>127966.14108352062</v>
      </c>
      <c r="H7" s="26">
        <f t="shared" si="2"/>
        <v>125095.28172949664</v>
      </c>
      <c r="I7" s="26">
        <f t="shared" si="2"/>
        <v>121499.19320972901</v>
      </c>
      <c r="J7" s="26">
        <f t="shared" si="2"/>
        <v>116144.9468476371</v>
      </c>
      <c r="K7" s="26">
        <f t="shared" si="2"/>
        <v>113338.9949846193</v>
      </c>
      <c r="L7" s="26">
        <f t="shared" si="2"/>
        <v>109660.11677215055</v>
      </c>
      <c r="M7" s="26">
        <f t="shared" si="2"/>
        <v>105249.80062823174</v>
      </c>
      <c r="N7" s="26">
        <f t="shared" si="2"/>
        <v>102506.25055520573</v>
      </c>
      <c r="O7" s="26">
        <f t="shared" si="2"/>
        <v>98205.78411266359</v>
      </c>
      <c r="P7" s="26">
        <f t="shared" si="2"/>
        <v>90955.615523577158</v>
      </c>
      <c r="Q7" s="26">
        <f t="shared" si="2"/>
        <v>85794.311535955028</v>
      </c>
      <c r="R7" s="26">
        <f t="shared" si="2"/>
        <v>81554.04788871207</v>
      </c>
      <c r="S7" s="26">
        <f t="shared" si="2"/>
        <v>76353.179949885205</v>
      </c>
      <c r="T7" s="26">
        <f t="shared" si="2"/>
        <v>76039.053880879874</v>
      </c>
      <c r="U7" s="26">
        <f t="shared" si="2"/>
        <v>72712.269535996995</v>
      </c>
      <c r="V7" s="26">
        <f t="shared" si="2"/>
        <v>69783.228000563424</v>
      </c>
      <c r="W7" s="26">
        <f t="shared" si="2"/>
        <v>69454.20388630667</v>
      </c>
      <c r="X7" s="26">
        <f t="shared" si="2"/>
        <v>67723.832884030795</v>
      </c>
      <c r="Y7" s="26">
        <f t="shared" si="2"/>
        <v>67476.151228644943</v>
      </c>
      <c r="Z7" s="26">
        <f t="shared" si="2"/>
        <v>66710.959664408641</v>
      </c>
      <c r="AA7" s="26">
        <f t="shared" si="2"/>
        <v>64861.522664520424</v>
      </c>
      <c r="AB7" s="26">
        <f t="shared" si="2"/>
        <v>64370.718390791168</v>
      </c>
      <c r="AC7" s="26">
        <f t="shared" si="2"/>
        <v>62332.773481485347</v>
      </c>
      <c r="AD7" s="26">
        <f t="shared" si="2"/>
        <v>63332.99701463987</v>
      </c>
      <c r="AE7" s="26">
        <f t="shared" si="2"/>
        <v>58098.677381878821</v>
      </c>
      <c r="AF7" s="26">
        <f t="shared" si="2"/>
        <v>56366.896764412391</v>
      </c>
      <c r="AG7" s="165">
        <f t="shared" si="2"/>
        <v>54866.286829509147</v>
      </c>
      <c r="AH7" s="141">
        <f t="shared" si="2"/>
        <v>54966.069784509287</v>
      </c>
      <c r="AI7" s="165">
        <f t="shared" ref="AI7:AL7" si="3">SUM(AI9,AI14,AI21,AI26,AI32,AI42,AI48)</f>
        <v>52261.526242755928</v>
      </c>
      <c r="AJ7" s="165">
        <f t="shared" si="3"/>
        <v>54602.285277185467</v>
      </c>
      <c r="AK7" s="165">
        <f t="shared" si="3"/>
        <v>52660.338789772759</v>
      </c>
      <c r="AL7" s="165">
        <f t="shared" si="3"/>
        <v>51024.14798048084</v>
      </c>
    </row>
    <row r="8" spans="2:38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6"/>
      <c r="AH8" s="142"/>
      <c r="AI8" s="90"/>
      <c r="AJ8" s="166"/>
      <c r="AK8" s="166"/>
      <c r="AL8" s="166"/>
    </row>
    <row r="9" spans="2:38" s="10" customFormat="1" ht="18.75" customHeight="1">
      <c r="B9" s="5" t="s">
        <v>8</v>
      </c>
      <c r="C9" s="26">
        <f t="shared" ref="C9:AF9" si="4">SUMIF(C10:C12,"&lt;1E+307")</f>
        <v>39068.886987605205</v>
      </c>
      <c r="D9" s="26">
        <f t="shared" si="4"/>
        <v>38261.51156498299</v>
      </c>
      <c r="E9" s="26">
        <f t="shared" si="4"/>
        <v>35783.848635233364</v>
      </c>
      <c r="F9" s="26">
        <f t="shared" si="4"/>
        <v>37296.24194308732</v>
      </c>
      <c r="G9" s="26">
        <f t="shared" si="4"/>
        <v>33962.479064876468</v>
      </c>
      <c r="H9" s="26">
        <f t="shared" si="4"/>
        <v>32791.343812032872</v>
      </c>
      <c r="I9" s="26">
        <f t="shared" si="4"/>
        <v>31594.814036614218</v>
      </c>
      <c r="J9" s="26">
        <f t="shared" si="4"/>
        <v>30891.513921176112</v>
      </c>
      <c r="K9" s="26">
        <f t="shared" si="4"/>
        <v>28029.602281449566</v>
      </c>
      <c r="L9" s="26">
        <f t="shared" si="4"/>
        <v>29230.561888155444</v>
      </c>
      <c r="M9" s="26">
        <f t="shared" si="4"/>
        <v>27185.24557896184</v>
      </c>
      <c r="N9" s="26">
        <f t="shared" si="4"/>
        <v>24519.817016471196</v>
      </c>
      <c r="O9" s="26">
        <f t="shared" si="4"/>
        <v>23123.923015279317</v>
      </c>
      <c r="P9" s="26">
        <f t="shared" si="4"/>
        <v>21349.809452371115</v>
      </c>
      <c r="Q9" s="26">
        <f t="shared" si="4"/>
        <v>18265.902749046076</v>
      </c>
      <c r="R9" s="26">
        <f t="shared" si="4"/>
        <v>16270.505427943179</v>
      </c>
      <c r="S9" s="26">
        <f t="shared" si="4"/>
        <v>14302.824134128447</v>
      </c>
      <c r="T9" s="26">
        <f t="shared" si="4"/>
        <v>13092.449000145425</v>
      </c>
      <c r="U9" s="26">
        <f t="shared" si="4"/>
        <v>12773.377201705325</v>
      </c>
      <c r="V9" s="26">
        <f t="shared" si="4"/>
        <v>11344.622613427036</v>
      </c>
      <c r="W9" s="26">
        <f t="shared" si="4"/>
        <v>11185.281326046214</v>
      </c>
      <c r="X9" s="26">
        <f t="shared" si="4"/>
        <v>10840.968362023685</v>
      </c>
      <c r="Y9" s="26">
        <f t="shared" si="4"/>
        <v>11796.816186251099</v>
      </c>
      <c r="Z9" s="26">
        <f t="shared" si="4"/>
        <v>10985.130088870485</v>
      </c>
      <c r="AA9" s="26">
        <f t="shared" si="4"/>
        <v>9851.3848641765489</v>
      </c>
      <c r="AB9" s="26">
        <f t="shared" si="4"/>
        <v>9863.0642515463514</v>
      </c>
      <c r="AC9" s="26">
        <f t="shared" si="4"/>
        <v>8971.2261385570491</v>
      </c>
      <c r="AD9" s="26">
        <f t="shared" si="4"/>
        <v>8653.4801482397197</v>
      </c>
      <c r="AE9" s="26">
        <f t="shared" si="4"/>
        <v>7335.8665676603941</v>
      </c>
      <c r="AF9" s="26">
        <f t="shared" si="4"/>
        <v>5385.1079354404947</v>
      </c>
      <c r="AG9" s="165">
        <f t="shared" ref="AG9" si="5">SUMIF(AG10:AG12,"&lt;1E+307")</f>
        <v>5162.4773463146239</v>
      </c>
      <c r="AH9" s="141">
        <f t="shared" ref="AH9:AL9" si="6">SUMIF(AH10:AH12,"&lt;1E+307")</f>
        <v>5046.4962257705693</v>
      </c>
      <c r="AI9" s="165">
        <f t="shared" si="6"/>
        <v>4769.5639423665398</v>
      </c>
      <c r="AJ9" s="165">
        <f t="shared" si="6"/>
        <v>4594.5505943404496</v>
      </c>
      <c r="AK9" s="165">
        <f t="shared" si="6"/>
        <v>4607.1270407313432</v>
      </c>
      <c r="AL9" s="165">
        <f t="shared" si="6"/>
        <v>4554.5962801444548</v>
      </c>
    </row>
    <row r="10" spans="2:38" ht="18.75" customHeight="1">
      <c r="B10" s="17" t="s">
        <v>0</v>
      </c>
      <c r="C10" s="27">
        <v>313.83872295999993</v>
      </c>
      <c r="D10" s="166">
        <v>324.97437885639982</v>
      </c>
      <c r="E10" s="166">
        <v>331.56472254359994</v>
      </c>
      <c r="F10" s="166">
        <v>344.74780059999989</v>
      </c>
      <c r="G10" s="166">
        <v>354.46591498359999</v>
      </c>
      <c r="H10" s="166">
        <v>443.55504687645595</v>
      </c>
      <c r="I10" s="166">
        <v>480.75904312569185</v>
      </c>
      <c r="J10" s="166">
        <v>518.85502885170047</v>
      </c>
      <c r="K10" s="166">
        <v>538.89557768727946</v>
      </c>
      <c r="L10" s="166">
        <v>554.78500064993273</v>
      </c>
      <c r="M10" s="166">
        <v>544.96579130174655</v>
      </c>
      <c r="N10" s="166">
        <v>515.76314170755097</v>
      </c>
      <c r="O10" s="166">
        <v>539.14929878757096</v>
      </c>
      <c r="P10" s="166">
        <v>917.06738684210222</v>
      </c>
      <c r="Q10" s="166">
        <v>885.19104202746018</v>
      </c>
      <c r="R10" s="166">
        <v>954.97106554042693</v>
      </c>
      <c r="S10" s="166">
        <v>1102.7136879023062</v>
      </c>
      <c r="T10" s="166">
        <v>1443.2069935408997</v>
      </c>
      <c r="U10" s="166">
        <v>1638.8361123640793</v>
      </c>
      <c r="V10" s="166">
        <v>1699.1905056139767</v>
      </c>
      <c r="W10" s="166">
        <v>1841.4189867352993</v>
      </c>
      <c r="X10" s="166">
        <v>2039.5635928730997</v>
      </c>
      <c r="Y10" s="166">
        <v>2394.1408871517206</v>
      </c>
      <c r="Z10" s="166">
        <v>2479.9453296791585</v>
      </c>
      <c r="AA10" s="166">
        <v>2498.6369733077199</v>
      </c>
      <c r="AB10" s="166">
        <v>2573.0322659482008</v>
      </c>
      <c r="AC10" s="166">
        <v>2682.8116838769397</v>
      </c>
      <c r="AD10" s="166">
        <v>2687.4048578640204</v>
      </c>
      <c r="AE10" s="166">
        <v>2667.0394543344987</v>
      </c>
      <c r="AF10" s="166">
        <v>2707.932382041879</v>
      </c>
      <c r="AG10" s="166">
        <v>2881.63342119156</v>
      </c>
      <c r="AH10" s="166">
        <v>2908.9723815518792</v>
      </c>
      <c r="AI10" s="166">
        <v>2828.416333827699</v>
      </c>
      <c r="AJ10" s="166">
        <v>2694.9081169659598</v>
      </c>
      <c r="AK10" s="166">
        <v>2768.2736300069196</v>
      </c>
      <c r="AL10" s="166">
        <v>2720.5061304783594</v>
      </c>
    </row>
    <row r="11" spans="2:38" s="87" customFormat="1" ht="18.75" customHeight="1">
      <c r="B11" s="18" t="s">
        <v>2</v>
      </c>
      <c r="C11" s="28">
        <v>5.9521719599999994</v>
      </c>
      <c r="D11" s="28">
        <v>6.2545394799999992</v>
      </c>
      <c r="E11" s="28">
        <v>6.1835382000000001</v>
      </c>
      <c r="F11" s="28">
        <v>6.543441239999999</v>
      </c>
      <c r="G11" s="28">
        <v>6.6631028799999985</v>
      </c>
      <c r="H11" s="28">
        <v>7.2653896000000007</v>
      </c>
      <c r="I11" s="28">
        <v>8.129845391111111</v>
      </c>
      <c r="J11" s="28">
        <v>7.7661995911111106</v>
      </c>
      <c r="K11" s="28">
        <v>7.8371012533333326</v>
      </c>
      <c r="L11" s="28">
        <v>7.8137545111111111</v>
      </c>
      <c r="M11" s="28">
        <v>7.7481873155555556</v>
      </c>
      <c r="N11" s="28">
        <v>8.1706116799999986</v>
      </c>
      <c r="O11" s="28">
        <v>8.7768576466666683</v>
      </c>
      <c r="P11" s="28">
        <v>8.2560490133333335</v>
      </c>
      <c r="Q11" s="28">
        <v>8.2975374999999989</v>
      </c>
      <c r="R11" s="28">
        <v>8.1065837968966665</v>
      </c>
      <c r="S11" s="28">
        <v>9.1483026954666666</v>
      </c>
      <c r="T11" s="28">
        <v>7.4700059895299997</v>
      </c>
      <c r="U11" s="28">
        <v>7.8453281696999992</v>
      </c>
      <c r="V11" s="28">
        <v>7.3933953638533332</v>
      </c>
      <c r="W11" s="28">
        <v>6.430481243760001</v>
      </c>
      <c r="X11" s="28">
        <v>6.7126950861600001</v>
      </c>
      <c r="Y11" s="28">
        <v>6.7645517389800007</v>
      </c>
      <c r="Z11" s="28">
        <v>8.0384534648599999</v>
      </c>
      <c r="AA11" s="28">
        <v>6.5363647388200006</v>
      </c>
      <c r="AB11" s="28">
        <v>6.73878579346</v>
      </c>
      <c r="AC11" s="28">
        <v>5.7320210606399993</v>
      </c>
      <c r="AD11" s="28">
        <v>6.85971212836</v>
      </c>
      <c r="AE11" s="28">
        <v>7.2977872154600005</v>
      </c>
      <c r="AF11" s="28">
        <v>6.5516391431400001</v>
      </c>
      <c r="AG11" s="167">
        <v>4.2057436420999998</v>
      </c>
      <c r="AH11" s="143">
        <v>4.58557206464</v>
      </c>
      <c r="AI11" s="167">
        <v>7.2264910198599992</v>
      </c>
      <c r="AJ11" s="167">
        <v>5.0843469355000002</v>
      </c>
      <c r="AK11" s="167">
        <v>3.6645829591000005</v>
      </c>
      <c r="AL11" s="167">
        <v>4.1336519467600006</v>
      </c>
    </row>
    <row r="12" spans="2:38" s="87" customFormat="1" ht="18.75" customHeight="1">
      <c r="B12" s="89" t="s">
        <v>1</v>
      </c>
      <c r="C12" s="90">
        <v>38749.096092685206</v>
      </c>
      <c r="D12" s="90">
        <v>37930.282646646592</v>
      </c>
      <c r="E12" s="90">
        <v>35446.100374489761</v>
      </c>
      <c r="F12" s="90">
        <v>36944.950701247319</v>
      </c>
      <c r="G12" s="90">
        <v>33601.350047012871</v>
      </c>
      <c r="H12" s="90">
        <v>32340.523375556419</v>
      </c>
      <c r="I12" s="90">
        <v>31105.925148097416</v>
      </c>
      <c r="J12" s="90">
        <v>30364.892692733301</v>
      </c>
      <c r="K12" s="90">
        <v>27482.869602508952</v>
      </c>
      <c r="L12" s="90">
        <v>28667.963132994399</v>
      </c>
      <c r="M12" s="90">
        <v>26632.531600344537</v>
      </c>
      <c r="N12" s="90">
        <v>23995.883263083644</v>
      </c>
      <c r="O12" s="90">
        <v>22575.996858845079</v>
      </c>
      <c r="P12" s="90">
        <v>20424.486016515679</v>
      </c>
      <c r="Q12" s="90">
        <v>17372.414169518615</v>
      </c>
      <c r="R12" s="90">
        <v>15307.427778605856</v>
      </c>
      <c r="S12" s="90">
        <v>13190.962143530674</v>
      </c>
      <c r="T12" s="90">
        <v>11641.772000614996</v>
      </c>
      <c r="U12" s="90">
        <v>11126.695761171546</v>
      </c>
      <c r="V12" s="90">
        <v>9638.0387124492063</v>
      </c>
      <c r="W12" s="90">
        <v>9337.4318580671534</v>
      </c>
      <c r="X12" s="90">
        <v>8794.6920740644255</v>
      </c>
      <c r="Y12" s="90">
        <v>9395.9107473603981</v>
      </c>
      <c r="Z12" s="90">
        <v>8497.1463057264664</v>
      </c>
      <c r="AA12" s="90">
        <v>7346.2115261300087</v>
      </c>
      <c r="AB12" s="90">
        <v>7283.2931998046915</v>
      </c>
      <c r="AC12" s="90">
        <v>6282.6824336194704</v>
      </c>
      <c r="AD12" s="90">
        <v>5959.2155782473383</v>
      </c>
      <c r="AE12" s="90">
        <v>4661.5293261104352</v>
      </c>
      <c r="AF12" s="90">
        <v>2670.6239142554755</v>
      </c>
      <c r="AG12" s="166">
        <v>2276.6381814809638</v>
      </c>
      <c r="AH12" s="142">
        <v>2132.9382721540501</v>
      </c>
      <c r="AI12" s="166">
        <v>1933.9211175189812</v>
      </c>
      <c r="AJ12" s="166">
        <v>1894.5581304389896</v>
      </c>
      <c r="AK12" s="166">
        <v>1835.188827765324</v>
      </c>
      <c r="AL12" s="166">
        <v>1829.9564977193359</v>
      </c>
    </row>
    <row r="13" spans="2:38" s="10" customFormat="1" ht="18.75" customHeight="1">
      <c r="B13" s="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165"/>
      <c r="AH13" s="141"/>
      <c r="AI13" s="165"/>
      <c r="AJ13" s="165"/>
      <c r="AK13" s="165"/>
      <c r="AL13" s="165"/>
    </row>
    <row r="14" spans="2:38" s="10" customFormat="1" ht="18.75" customHeight="1">
      <c r="B14" s="6" t="s">
        <v>9</v>
      </c>
      <c r="C14" s="25">
        <f t="shared" ref="C14:AH14" si="7">SUMIF(C15:C19,"&lt;1E+307")</f>
        <v>677.95215386558982</v>
      </c>
      <c r="D14" s="25">
        <f t="shared" si="7"/>
        <v>635.56569380481403</v>
      </c>
      <c r="E14" s="25">
        <f t="shared" si="7"/>
        <v>652.22916103747627</v>
      </c>
      <c r="F14" s="25">
        <f t="shared" si="7"/>
        <v>682.7548042165256</v>
      </c>
      <c r="G14" s="25">
        <f t="shared" si="7"/>
        <v>726.74929022092977</v>
      </c>
      <c r="H14" s="25">
        <f t="shared" si="7"/>
        <v>755.09389719844603</v>
      </c>
      <c r="I14" s="25">
        <f t="shared" si="7"/>
        <v>749.21362331127807</v>
      </c>
      <c r="J14" s="25">
        <f t="shared" si="7"/>
        <v>771.47429803926354</v>
      </c>
      <c r="K14" s="25">
        <f t="shared" si="7"/>
        <v>798.79335745681612</v>
      </c>
      <c r="L14" s="25">
        <f t="shared" si="7"/>
        <v>834.43259135072333</v>
      </c>
      <c r="M14" s="25">
        <f t="shared" si="7"/>
        <v>887.40689094347988</v>
      </c>
      <c r="N14" s="25">
        <f t="shared" si="7"/>
        <v>869.1643160396136</v>
      </c>
      <c r="O14" s="25">
        <f t="shared" si="7"/>
        <v>825.74526147333472</v>
      </c>
      <c r="P14" s="25">
        <f t="shared" si="7"/>
        <v>880.74269179116072</v>
      </c>
      <c r="Q14" s="25">
        <f t="shared" si="7"/>
        <v>907.04809777255605</v>
      </c>
      <c r="R14" s="25">
        <f t="shared" si="7"/>
        <v>939.03601597312581</v>
      </c>
      <c r="S14" s="25">
        <f t="shared" si="7"/>
        <v>946.99478056659007</v>
      </c>
      <c r="T14" s="25">
        <f t="shared" si="7"/>
        <v>938.28910679538467</v>
      </c>
      <c r="U14" s="25">
        <f t="shared" si="7"/>
        <v>910.84609632045442</v>
      </c>
      <c r="V14" s="25">
        <f t="shared" si="7"/>
        <v>853.40627950205476</v>
      </c>
      <c r="W14" s="25">
        <f t="shared" si="7"/>
        <v>900.76692752842143</v>
      </c>
      <c r="X14" s="25">
        <f t="shared" si="7"/>
        <v>908.54176483997389</v>
      </c>
      <c r="Y14" s="25">
        <f t="shared" si="7"/>
        <v>889.48774486944706</v>
      </c>
      <c r="Z14" s="25">
        <f t="shared" si="7"/>
        <v>883.4763817758178</v>
      </c>
      <c r="AA14" s="25">
        <f t="shared" si="7"/>
        <v>900.66744493548777</v>
      </c>
      <c r="AB14" s="25">
        <f t="shared" si="7"/>
        <v>907.57835031957302</v>
      </c>
      <c r="AC14" s="25">
        <f t="shared" si="7"/>
        <v>915.17544875270676</v>
      </c>
      <c r="AD14" s="25">
        <f t="shared" si="7"/>
        <v>931.40965102573875</v>
      </c>
      <c r="AE14" s="25">
        <f t="shared" si="7"/>
        <v>891.52356338189884</v>
      </c>
      <c r="AF14" s="25">
        <f t="shared" si="7"/>
        <v>883.33280657340447</v>
      </c>
      <c r="AG14" s="164">
        <f t="shared" si="7"/>
        <v>909.38298823697392</v>
      </c>
      <c r="AH14" s="140">
        <f t="shared" si="7"/>
        <v>937.20115948765408</v>
      </c>
      <c r="AI14" s="164">
        <f t="shared" ref="AI14:AL14" si="8">SUMIF(AI15:AI19,"&lt;1E+307")</f>
        <v>803.77651125121065</v>
      </c>
      <c r="AJ14" s="164">
        <f t="shared" si="8"/>
        <v>717.48490130351934</v>
      </c>
      <c r="AK14" s="164">
        <f t="shared" si="8"/>
        <v>731.166388092543</v>
      </c>
      <c r="AL14" s="164">
        <f t="shared" si="8"/>
        <v>716.93566020733397</v>
      </c>
    </row>
    <row r="15" spans="2:38" ht="18.75" customHeight="1">
      <c r="B15" s="18" t="s">
        <v>24</v>
      </c>
      <c r="C15" s="28">
        <v>280.44339003487329</v>
      </c>
      <c r="D15" s="28">
        <v>245.84238699329563</v>
      </c>
      <c r="E15" s="28">
        <v>233.35247308733165</v>
      </c>
      <c r="F15" s="28">
        <v>223.60965112229329</v>
      </c>
      <c r="G15" s="28">
        <v>226.12790647825767</v>
      </c>
      <c r="H15" s="28">
        <v>248.74746728711222</v>
      </c>
      <c r="I15" s="28">
        <v>260.25168380628156</v>
      </c>
      <c r="J15" s="28">
        <v>255.45271349729239</v>
      </c>
      <c r="K15" s="28">
        <v>258.93700567762232</v>
      </c>
      <c r="L15" s="28">
        <v>248.50676778590548</v>
      </c>
      <c r="M15" s="28">
        <v>251.09921458397713</v>
      </c>
      <c r="N15" s="28">
        <v>245.09301014120408</v>
      </c>
      <c r="O15" s="28">
        <v>241.02121690452512</v>
      </c>
      <c r="P15" s="28">
        <v>232.11980541181771</v>
      </c>
      <c r="Q15" s="28">
        <v>260.65667420849866</v>
      </c>
      <c r="R15" s="28">
        <v>270.66520360906486</v>
      </c>
      <c r="S15" s="28">
        <v>296.72074383898138</v>
      </c>
      <c r="T15" s="28">
        <v>287.11718244104748</v>
      </c>
      <c r="U15" s="28">
        <v>298.87592781315868</v>
      </c>
      <c r="V15" s="28">
        <v>277.43748019062934</v>
      </c>
      <c r="W15" s="28">
        <v>304.18279099856807</v>
      </c>
      <c r="X15" s="28">
        <v>314.42143100361244</v>
      </c>
      <c r="Y15" s="28">
        <v>313.98520486241205</v>
      </c>
      <c r="Z15" s="28">
        <v>313.80081973930254</v>
      </c>
      <c r="AA15" s="28">
        <v>309.21471274603772</v>
      </c>
      <c r="AB15" s="28">
        <v>313.9279754161995</v>
      </c>
      <c r="AC15" s="28">
        <v>315.26472607921761</v>
      </c>
      <c r="AD15" s="28">
        <v>322.41521872093546</v>
      </c>
      <c r="AE15" s="28">
        <v>316.5597242700224</v>
      </c>
      <c r="AF15" s="28">
        <v>316.29298433052014</v>
      </c>
      <c r="AG15" s="167">
        <v>311.55145822374948</v>
      </c>
      <c r="AH15" s="143">
        <v>334.56169528529273</v>
      </c>
      <c r="AI15" s="167">
        <v>298.92152387949966</v>
      </c>
      <c r="AJ15" s="167">
        <v>276.70859435951695</v>
      </c>
      <c r="AK15" s="167">
        <v>283.46390888873651</v>
      </c>
      <c r="AL15" s="167">
        <v>275.76682275973548</v>
      </c>
    </row>
    <row r="16" spans="2:38" ht="18.75" customHeight="1">
      <c r="B16" s="17" t="s">
        <v>11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166">
        <v>0</v>
      </c>
      <c r="AH16" s="142">
        <v>0</v>
      </c>
      <c r="AI16" s="166">
        <v>0</v>
      </c>
      <c r="AJ16" s="166">
        <v>0</v>
      </c>
      <c r="AK16" s="166">
        <v>0</v>
      </c>
      <c r="AL16" s="166">
        <v>0</v>
      </c>
    </row>
    <row r="17" spans="2:38" ht="18.75" customHeight="1">
      <c r="B17" s="18" t="s">
        <v>12</v>
      </c>
      <c r="C17" s="28">
        <v>377.60191435071647</v>
      </c>
      <c r="D17" s="28">
        <v>372.55383701151845</v>
      </c>
      <c r="E17" s="28">
        <v>401.35150139014468</v>
      </c>
      <c r="F17" s="28">
        <v>443.1108430542323</v>
      </c>
      <c r="G17" s="28">
        <v>483.50467266267214</v>
      </c>
      <c r="H17" s="28">
        <v>482.98856811133396</v>
      </c>
      <c r="I17" s="28">
        <v>461.05011934499657</v>
      </c>
      <c r="J17" s="28">
        <v>486.80332419797122</v>
      </c>
      <c r="K17" s="28">
        <v>510.2849685951939</v>
      </c>
      <c r="L17" s="28">
        <v>555.64610640481783</v>
      </c>
      <c r="M17" s="28">
        <v>603.47758787950272</v>
      </c>
      <c r="N17" s="28">
        <v>593.2443802024095</v>
      </c>
      <c r="O17" s="28">
        <v>552.34555576880962</v>
      </c>
      <c r="P17" s="28">
        <v>614.4375545553429</v>
      </c>
      <c r="Q17" s="28">
        <v>610.69037644245736</v>
      </c>
      <c r="R17" s="28">
        <v>630.79160690726098</v>
      </c>
      <c r="S17" s="28">
        <v>613.77376006440863</v>
      </c>
      <c r="T17" s="28">
        <v>611.46151115033729</v>
      </c>
      <c r="U17" s="28">
        <v>574.3402997776958</v>
      </c>
      <c r="V17" s="28">
        <v>532.85161518182531</v>
      </c>
      <c r="W17" s="28">
        <v>549.54649777265331</v>
      </c>
      <c r="X17" s="28">
        <v>545.49517664316136</v>
      </c>
      <c r="Y17" s="28">
        <v>525.76189557943508</v>
      </c>
      <c r="Z17" s="28">
        <v>520.54491304251519</v>
      </c>
      <c r="AA17" s="28">
        <v>543.22741935304998</v>
      </c>
      <c r="AB17" s="28">
        <v>544.86685982377355</v>
      </c>
      <c r="AC17" s="28">
        <v>556.28649512028903</v>
      </c>
      <c r="AD17" s="28">
        <v>563.21216819120332</v>
      </c>
      <c r="AE17" s="28">
        <v>527.77668148587645</v>
      </c>
      <c r="AF17" s="28">
        <v>522.76712138336438</v>
      </c>
      <c r="AG17" s="167">
        <v>564.96354386580833</v>
      </c>
      <c r="AH17" s="143">
        <v>571.06817075232937</v>
      </c>
      <c r="AI17" s="167">
        <v>474.83437700247913</v>
      </c>
      <c r="AJ17" s="167">
        <v>415.14148173080235</v>
      </c>
      <c r="AK17" s="167">
        <v>424.17332464020649</v>
      </c>
      <c r="AL17" s="167">
        <v>419.96147714804641</v>
      </c>
    </row>
    <row r="18" spans="2:38" ht="18.75" customHeight="1">
      <c r="B18" s="17" t="s">
        <v>13</v>
      </c>
      <c r="C18" s="27">
        <v>14.834399999999999</v>
      </c>
      <c r="D18" s="27">
        <v>10.585175999999999</v>
      </c>
      <c r="E18" s="27">
        <v>9.3919280000000001</v>
      </c>
      <c r="F18" s="27">
        <v>6.3663599999999994</v>
      </c>
      <c r="G18" s="27">
        <v>5.9229407999999983</v>
      </c>
      <c r="H18" s="27">
        <v>10.618876799999999</v>
      </c>
      <c r="I18" s="27">
        <v>10.162286119999999</v>
      </c>
      <c r="J18" s="27">
        <v>10.228834224000002</v>
      </c>
      <c r="K18" s="27">
        <v>9.845363304000001</v>
      </c>
      <c r="L18" s="27">
        <v>9.3715591200000006</v>
      </c>
      <c r="M18" s="27">
        <v>9.9792610400000008</v>
      </c>
      <c r="N18" s="27">
        <v>9.3822476160000008</v>
      </c>
      <c r="O18" s="27">
        <v>9.1328664000000011</v>
      </c>
      <c r="P18" s="27">
        <v>8.8293455040000008</v>
      </c>
      <c r="Q18" s="27">
        <v>9.1005266016000004</v>
      </c>
      <c r="R18" s="27">
        <v>8.7431820168000005</v>
      </c>
      <c r="S18" s="27">
        <v>9.3814576631999991</v>
      </c>
      <c r="T18" s="27">
        <v>8.7309693239999984</v>
      </c>
      <c r="U18" s="27">
        <v>8.5740466895999994</v>
      </c>
      <c r="V18" s="27">
        <v>6.3100459296000002</v>
      </c>
      <c r="W18" s="27">
        <v>7.8378924371999998</v>
      </c>
      <c r="X18" s="27">
        <v>8.1253529532000002</v>
      </c>
      <c r="Y18" s="27">
        <v>7.7945967875999989</v>
      </c>
      <c r="Z18" s="27">
        <v>7.8087599939999999</v>
      </c>
      <c r="AA18" s="27">
        <v>7.7633889564</v>
      </c>
      <c r="AB18" s="27">
        <v>7.7945701595999983</v>
      </c>
      <c r="AC18" s="27">
        <v>7.7866977131999997</v>
      </c>
      <c r="AD18" s="27">
        <v>8.0091849935999999</v>
      </c>
      <c r="AE18" s="27">
        <v>7.7594022660000004</v>
      </c>
      <c r="AF18" s="27">
        <v>7.3723237795199994</v>
      </c>
      <c r="AG18" s="166">
        <v>6.7138360274159998</v>
      </c>
      <c r="AH18" s="142">
        <v>7.475023210032</v>
      </c>
      <c r="AI18" s="166">
        <v>7.0685483692319995</v>
      </c>
      <c r="AJ18" s="166">
        <v>6.6654543732000002</v>
      </c>
      <c r="AK18" s="166">
        <v>6.7953196835999989</v>
      </c>
      <c r="AL18" s="166">
        <v>6.3798342995519999</v>
      </c>
    </row>
    <row r="19" spans="2:38" ht="18.75" customHeight="1">
      <c r="B19" s="18" t="s">
        <v>77</v>
      </c>
      <c r="C19" s="28">
        <v>5.0724494800000013</v>
      </c>
      <c r="D19" s="28">
        <v>6.5842937999999993</v>
      </c>
      <c r="E19" s="28">
        <v>8.1332585599999998</v>
      </c>
      <c r="F19" s="28">
        <v>9.6679500399999991</v>
      </c>
      <c r="G19" s="28">
        <v>11.193770280000001</v>
      </c>
      <c r="H19" s="28">
        <v>12.738985</v>
      </c>
      <c r="I19" s="28">
        <v>17.74953404</v>
      </c>
      <c r="J19" s="28">
        <v>18.989426120000001</v>
      </c>
      <c r="K19" s="28">
        <v>19.726019880000003</v>
      </c>
      <c r="L19" s="28">
        <v>20.908158040000004</v>
      </c>
      <c r="M19" s="28">
        <v>22.850827440000003</v>
      </c>
      <c r="N19" s="28">
        <v>21.444678079999996</v>
      </c>
      <c r="O19" s="28">
        <v>23.245622400000002</v>
      </c>
      <c r="P19" s="28">
        <v>25.35598632</v>
      </c>
      <c r="Q19" s="28">
        <v>26.600520520000003</v>
      </c>
      <c r="R19" s="28">
        <v>28.836023440000005</v>
      </c>
      <c r="S19" s="28">
        <v>27.118819000000002</v>
      </c>
      <c r="T19" s="28">
        <v>30.979443879999998</v>
      </c>
      <c r="U19" s="28">
        <v>29.055822040000006</v>
      </c>
      <c r="V19" s="28">
        <v>36.807138200000004</v>
      </c>
      <c r="W19" s="28">
        <v>39.199746320000003</v>
      </c>
      <c r="X19" s="28">
        <v>40.499804240000003</v>
      </c>
      <c r="Y19" s="28">
        <v>41.946047639999996</v>
      </c>
      <c r="Z19" s="28">
        <v>41.321888999999999</v>
      </c>
      <c r="AA19" s="28">
        <v>40.461923879999993</v>
      </c>
      <c r="AB19" s="28">
        <v>40.988944920000002</v>
      </c>
      <c r="AC19" s="28">
        <v>35.837529840000002</v>
      </c>
      <c r="AD19" s="28">
        <v>37.773079120000006</v>
      </c>
      <c r="AE19" s="28">
        <v>39.427755359999999</v>
      </c>
      <c r="AF19" s="28">
        <v>36.900377080000005</v>
      </c>
      <c r="AG19" s="167">
        <v>26.154150120000001</v>
      </c>
      <c r="AH19" s="143">
        <v>24.096270240000003</v>
      </c>
      <c r="AI19" s="167">
        <v>22.952061999999998</v>
      </c>
      <c r="AJ19" s="167">
        <v>18.96937084</v>
      </c>
      <c r="AK19" s="167">
        <v>16.73383488</v>
      </c>
      <c r="AL19" s="167">
        <v>14.827525999999999</v>
      </c>
    </row>
    <row r="20" spans="2:38" s="149" customFormat="1" ht="18.75" customHeight="1">
      <c r="B20" s="8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</row>
    <row r="21" spans="2:38" s="10" customFormat="1" ht="18.75" customHeight="1">
      <c r="B21" s="151" t="s">
        <v>10</v>
      </c>
      <c r="C21" s="165">
        <f>SUMIF(C22:C24,"&lt;1E+307")</f>
        <v>4732.7482956009108</v>
      </c>
      <c r="D21" s="165">
        <f t="shared" ref="D21:AD21" si="9">SUMIF(D22:D24,"&lt;1E+307")</f>
        <v>3211.7501039156919</v>
      </c>
      <c r="E21" s="165">
        <f t="shared" si="9"/>
        <v>2202.1103106246819</v>
      </c>
      <c r="F21" s="165">
        <f t="shared" si="9"/>
        <v>1907.3798011330309</v>
      </c>
      <c r="G21" s="165">
        <f t="shared" si="9"/>
        <v>1470.9649225492085</v>
      </c>
      <c r="H21" s="165">
        <f t="shared" si="9"/>
        <v>1265.5180272225618</v>
      </c>
      <c r="I21" s="165">
        <f t="shared" si="9"/>
        <v>1214.9808434395261</v>
      </c>
      <c r="J21" s="165">
        <f t="shared" si="9"/>
        <v>1219.8104579732239</v>
      </c>
      <c r="K21" s="165">
        <f t="shared" si="9"/>
        <v>1003.4616958793839</v>
      </c>
      <c r="L21" s="165">
        <f t="shared" si="9"/>
        <v>981.10078415086559</v>
      </c>
      <c r="M21" s="165">
        <f t="shared" si="9"/>
        <v>945.23335491321609</v>
      </c>
      <c r="N21" s="165">
        <f t="shared" si="9"/>
        <v>1015.8355727668525</v>
      </c>
      <c r="O21" s="165">
        <f t="shared" si="9"/>
        <v>951.93039209746928</v>
      </c>
      <c r="P21" s="165">
        <f t="shared" si="9"/>
        <v>846.74525035237809</v>
      </c>
      <c r="Q21" s="165">
        <f t="shared" si="9"/>
        <v>787.83187077403454</v>
      </c>
      <c r="R21" s="165">
        <f t="shared" si="9"/>
        <v>777.25654605523891</v>
      </c>
      <c r="S21" s="165">
        <f t="shared" si="9"/>
        <v>902.94145227165961</v>
      </c>
      <c r="T21" s="165">
        <f t="shared" si="9"/>
        <v>903.01782362585038</v>
      </c>
      <c r="U21" s="165">
        <f t="shared" si="9"/>
        <v>1054.9281780209501</v>
      </c>
      <c r="V21" s="165">
        <f t="shared" si="9"/>
        <v>989.14427912605674</v>
      </c>
      <c r="W21" s="165">
        <f t="shared" si="9"/>
        <v>1279.2500486061956</v>
      </c>
      <c r="X21" s="165">
        <f t="shared" si="9"/>
        <v>1132.1917875227646</v>
      </c>
      <c r="Y21" s="165">
        <f t="shared" si="9"/>
        <v>1217.4339100346899</v>
      </c>
      <c r="Z21" s="165">
        <f t="shared" si="9"/>
        <v>1242.2655482075259</v>
      </c>
      <c r="AA21" s="165">
        <f t="shared" si="9"/>
        <v>1026.4925095301066</v>
      </c>
      <c r="AB21" s="165">
        <f t="shared" si="9"/>
        <v>1081.0331275607107</v>
      </c>
      <c r="AC21" s="165">
        <f t="shared" si="9"/>
        <v>1026.6454635851874</v>
      </c>
      <c r="AD21" s="165">
        <f t="shared" si="9"/>
        <v>1043.5690124052333</v>
      </c>
      <c r="AE21" s="165">
        <f t="shared" ref="AE21:AF21" si="10">SUMIF(AE22:AE24,"&lt;1E+307")</f>
        <v>1045.7410780683663</v>
      </c>
      <c r="AF21" s="165">
        <f t="shared" si="10"/>
        <v>1019.5758701871682</v>
      </c>
      <c r="AG21" s="165">
        <f t="shared" ref="AG21" si="11">SUMIF(AG22:AG24,"&lt;1E+307")</f>
        <v>972.29660943020269</v>
      </c>
      <c r="AH21" s="165">
        <f t="shared" ref="AH21:AL21" si="12">SUMIF(AH22:AH24,"&lt;1E+307")</f>
        <v>1096.1258875058795</v>
      </c>
      <c r="AI21" s="165">
        <f t="shared" si="12"/>
        <v>1145.5103800973286</v>
      </c>
      <c r="AJ21" s="165">
        <f t="shared" si="12"/>
        <v>942.07210845945247</v>
      </c>
      <c r="AK21" s="165">
        <f t="shared" si="12"/>
        <v>915.59167843227056</v>
      </c>
      <c r="AL21" s="165">
        <f t="shared" si="12"/>
        <v>1012.0697444632597</v>
      </c>
    </row>
    <row r="22" spans="2:38" s="149" customFormat="1" ht="18.75" customHeight="1">
      <c r="B22" s="89" t="s">
        <v>69</v>
      </c>
      <c r="C22" s="166">
        <v>1636.9237510263931</v>
      </c>
      <c r="D22" s="166">
        <v>1045.3929224573681</v>
      </c>
      <c r="E22" s="166">
        <v>611.7196197091215</v>
      </c>
      <c r="F22" s="166">
        <v>460.26336930420223</v>
      </c>
      <c r="G22" s="166">
        <v>215.1287185475235</v>
      </c>
      <c r="H22" s="166">
        <v>269.84796449703219</v>
      </c>
      <c r="I22" s="166">
        <v>208.43024545621586</v>
      </c>
      <c r="J22" s="166">
        <v>261.94971742098369</v>
      </c>
      <c r="K22" s="166">
        <v>126.90954872703595</v>
      </c>
      <c r="L22" s="166">
        <v>100.35863315765381</v>
      </c>
      <c r="M22" s="166">
        <v>106.20823221467693</v>
      </c>
      <c r="N22" s="166">
        <v>94.957690631411637</v>
      </c>
      <c r="O22" s="166">
        <v>90.327317347905179</v>
      </c>
      <c r="P22" s="166">
        <v>33.666744759642441</v>
      </c>
      <c r="Q22" s="166">
        <v>31.745579961379171</v>
      </c>
      <c r="R22" s="166">
        <v>34.451415236732103</v>
      </c>
      <c r="S22" s="166">
        <v>42.559058085288434</v>
      </c>
      <c r="T22" s="166">
        <v>47.96133919230568</v>
      </c>
      <c r="U22" s="166">
        <v>61.208444871180994</v>
      </c>
      <c r="V22" s="166">
        <v>67.232715002539805</v>
      </c>
      <c r="W22" s="166">
        <v>94.960330507303922</v>
      </c>
      <c r="X22" s="166">
        <v>78.22419604669976</v>
      </c>
      <c r="Y22" s="166">
        <v>92.235022522608944</v>
      </c>
      <c r="Z22" s="166">
        <v>90.077387716337512</v>
      </c>
      <c r="AA22" s="166">
        <v>85.206165952391629</v>
      </c>
      <c r="AB22" s="166">
        <v>101.46467211657171</v>
      </c>
      <c r="AC22" s="166">
        <v>98.758641332746905</v>
      </c>
      <c r="AD22" s="166">
        <v>101.72896303077053</v>
      </c>
      <c r="AE22" s="166">
        <v>95.370279392488328</v>
      </c>
      <c r="AF22" s="166">
        <v>97.219081751626192</v>
      </c>
      <c r="AG22" s="166">
        <v>96.782269716453499</v>
      </c>
      <c r="AH22" s="166">
        <v>104.36798421115036</v>
      </c>
      <c r="AI22" s="166">
        <v>99.492648773546051</v>
      </c>
      <c r="AJ22" s="166">
        <v>100.32279066378176</v>
      </c>
      <c r="AK22" s="166">
        <v>100.23834239097773</v>
      </c>
      <c r="AL22" s="166">
        <v>101.97465522343674</v>
      </c>
    </row>
    <row r="23" spans="2:38" s="149" customFormat="1" ht="18.75" customHeight="1">
      <c r="B23" s="18" t="s">
        <v>17</v>
      </c>
      <c r="C23" s="167">
        <v>2782.8578393936614</v>
      </c>
      <c r="D23" s="167">
        <v>1968.7301248995975</v>
      </c>
      <c r="E23" s="167">
        <v>1460.6864197280015</v>
      </c>
      <c r="F23" s="167">
        <v>1362.9150138174332</v>
      </c>
      <c r="G23" s="167">
        <v>1215.7730847232356</v>
      </c>
      <c r="H23" s="167">
        <v>979.94899600113217</v>
      </c>
      <c r="I23" s="167">
        <v>998.88332461524806</v>
      </c>
      <c r="J23" s="167">
        <v>952.34315030787377</v>
      </c>
      <c r="K23" s="167">
        <v>871.67050195720219</v>
      </c>
      <c r="L23" s="167">
        <v>876.99356055426745</v>
      </c>
      <c r="M23" s="167">
        <v>835.39063439696019</v>
      </c>
      <c r="N23" s="167">
        <v>917.35813032330509</v>
      </c>
      <c r="O23" s="167">
        <v>858.2347953864637</v>
      </c>
      <c r="P23" s="167">
        <v>810.2931779003402</v>
      </c>
      <c r="Q23" s="167">
        <v>753.76130091516188</v>
      </c>
      <c r="R23" s="167">
        <v>740.15380530979439</v>
      </c>
      <c r="S23" s="167">
        <v>858.11882253551869</v>
      </c>
      <c r="T23" s="167">
        <v>853.26903038597891</v>
      </c>
      <c r="U23" s="167">
        <v>992.00217183413145</v>
      </c>
      <c r="V23" s="167">
        <v>920.30044281899211</v>
      </c>
      <c r="W23" s="167">
        <v>1182.7469010633392</v>
      </c>
      <c r="X23" s="167">
        <v>1052.4187462044856</v>
      </c>
      <c r="Y23" s="167">
        <v>1123.6672663848226</v>
      </c>
      <c r="Z23" s="167">
        <v>1150.57663296387</v>
      </c>
      <c r="AA23" s="167">
        <v>939.57612130051291</v>
      </c>
      <c r="AB23" s="167">
        <v>977.971568202188</v>
      </c>
      <c r="AC23" s="167">
        <v>926.27583958668629</v>
      </c>
      <c r="AD23" s="167">
        <v>940.24780631862996</v>
      </c>
      <c r="AE23" s="167">
        <v>948.78543390045456</v>
      </c>
      <c r="AF23" s="167">
        <v>920.79699533733003</v>
      </c>
      <c r="AG23" s="167">
        <v>874.15208833888789</v>
      </c>
      <c r="AH23" s="167">
        <v>989.95923019368593</v>
      </c>
      <c r="AI23" s="167">
        <v>1044.2805849665826</v>
      </c>
      <c r="AJ23" s="167">
        <v>839.96738315770801</v>
      </c>
      <c r="AK23" s="167">
        <v>813.845334361862</v>
      </c>
      <c r="AL23" s="167">
        <v>908.49809387493917</v>
      </c>
    </row>
    <row r="24" spans="2:38" s="149" customFormat="1" ht="18.75" customHeight="1">
      <c r="B24" s="89" t="s">
        <v>70</v>
      </c>
      <c r="C24" s="166">
        <v>312.96670518085665</v>
      </c>
      <c r="D24" s="166">
        <v>197.62705655872594</v>
      </c>
      <c r="E24" s="166">
        <v>129.70427118755899</v>
      </c>
      <c r="F24" s="166">
        <v>84.201418011395646</v>
      </c>
      <c r="G24" s="166">
        <v>40.063119278449555</v>
      </c>
      <c r="H24" s="166">
        <v>15.72106672439746</v>
      </c>
      <c r="I24" s="166">
        <v>7.6672733680623999</v>
      </c>
      <c r="J24" s="166">
        <v>5.5175902443665201</v>
      </c>
      <c r="K24" s="166">
        <v>4.88164519514575</v>
      </c>
      <c r="L24" s="166">
        <v>3.748590438944392</v>
      </c>
      <c r="M24" s="166">
        <v>3.6344883015789469</v>
      </c>
      <c r="N24" s="166">
        <v>3.5197518121357145</v>
      </c>
      <c r="O24" s="166">
        <v>3.3682793631004455</v>
      </c>
      <c r="P24" s="166">
        <v>2.7853276923953803</v>
      </c>
      <c r="Q24" s="166">
        <v>2.3249898974935261</v>
      </c>
      <c r="R24" s="166">
        <v>2.6513255087124121</v>
      </c>
      <c r="S24" s="166">
        <v>2.2635716508524126</v>
      </c>
      <c r="T24" s="166">
        <v>1.7874540475657503</v>
      </c>
      <c r="U24" s="166">
        <v>1.7175613156374925</v>
      </c>
      <c r="V24" s="166">
        <v>1.6111213045248538</v>
      </c>
      <c r="W24" s="166">
        <v>1.5428170355523281</v>
      </c>
      <c r="X24" s="166">
        <v>1.5488452715793433</v>
      </c>
      <c r="Y24" s="166">
        <v>1.5316211272585156</v>
      </c>
      <c r="Z24" s="166">
        <v>1.6115275273185365</v>
      </c>
      <c r="AA24" s="166">
        <v>1.7102222772020583</v>
      </c>
      <c r="AB24" s="166">
        <v>1.5968872419510842</v>
      </c>
      <c r="AC24" s="166">
        <v>1.6109826657540649</v>
      </c>
      <c r="AD24" s="166">
        <v>1.5922430558326868</v>
      </c>
      <c r="AE24" s="166">
        <v>1.5853647754233318</v>
      </c>
      <c r="AF24" s="166">
        <v>1.5597930982120112</v>
      </c>
      <c r="AG24" s="166">
        <v>1.3622513748613161</v>
      </c>
      <c r="AH24" s="166">
        <v>1.7986731010432182</v>
      </c>
      <c r="AI24" s="166">
        <v>1.7371463571998507</v>
      </c>
      <c r="AJ24" s="166">
        <v>1.7819346379626306</v>
      </c>
      <c r="AK24" s="166">
        <v>1.5080016794307254</v>
      </c>
      <c r="AL24" s="166">
        <v>1.5969953648837061</v>
      </c>
    </row>
    <row r="25" spans="2:38" s="149" customFormat="1" ht="18.75" customHeight="1">
      <c r="B25" s="1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</row>
    <row r="26" spans="2:38" s="10" customFormat="1" ht="18.75" customHeight="1">
      <c r="B26" s="152" t="s">
        <v>14</v>
      </c>
      <c r="C26" s="164">
        <f>SUMIF(C27:C30,"&lt;1E+307")</f>
        <v>1838.6126589142134</v>
      </c>
      <c r="D26" s="164">
        <f t="shared" ref="D26:AD26" si="13">SUMIF(D27:D30,"&lt;1E+307")</f>
        <v>1510.6385534720071</v>
      </c>
      <c r="E26" s="164">
        <f t="shared" si="13"/>
        <v>1320.3434819513445</v>
      </c>
      <c r="F26" s="164">
        <f t="shared" si="13"/>
        <v>1157.9267276555768</v>
      </c>
      <c r="G26" s="164">
        <f t="shared" si="13"/>
        <v>986.90970628375078</v>
      </c>
      <c r="H26" s="164">
        <f t="shared" si="13"/>
        <v>910.07524867797883</v>
      </c>
      <c r="I26" s="164">
        <f t="shared" si="13"/>
        <v>830.13929542058258</v>
      </c>
      <c r="J26" s="164">
        <f t="shared" si="13"/>
        <v>744.18482645002882</v>
      </c>
      <c r="K26" s="164">
        <f t="shared" si="13"/>
        <v>679.48631648268281</v>
      </c>
      <c r="L26" s="164">
        <f t="shared" si="13"/>
        <v>622.71934532610328</v>
      </c>
      <c r="M26" s="164">
        <f t="shared" si="13"/>
        <v>562.95554649424389</v>
      </c>
      <c r="N26" s="164">
        <f t="shared" si="13"/>
        <v>510.75850930107555</v>
      </c>
      <c r="O26" s="164">
        <f t="shared" si="13"/>
        <v>476.12672862475858</v>
      </c>
      <c r="P26" s="164">
        <f t="shared" si="13"/>
        <v>433.43898712107165</v>
      </c>
      <c r="Q26" s="164">
        <f t="shared" si="13"/>
        <v>409.40656245047853</v>
      </c>
      <c r="R26" s="164">
        <f t="shared" si="13"/>
        <v>375.77326402243233</v>
      </c>
      <c r="S26" s="164">
        <f t="shared" si="13"/>
        <v>359.28767957131771</v>
      </c>
      <c r="T26" s="164">
        <f t="shared" si="13"/>
        <v>325.66096836682243</v>
      </c>
      <c r="U26" s="164">
        <f t="shared" si="13"/>
        <v>299.47597378593463</v>
      </c>
      <c r="V26" s="164">
        <f t="shared" si="13"/>
        <v>288.75859452023769</v>
      </c>
      <c r="W26" s="164">
        <f t="shared" si="13"/>
        <v>269.18319544747339</v>
      </c>
      <c r="X26" s="164">
        <f t="shared" si="13"/>
        <v>262.26994043813454</v>
      </c>
      <c r="Y26" s="164">
        <f t="shared" si="13"/>
        <v>244.90095660179918</v>
      </c>
      <c r="Z26" s="164">
        <f t="shared" si="13"/>
        <v>242.94329891494851</v>
      </c>
      <c r="AA26" s="164">
        <f t="shared" si="13"/>
        <v>243.41718063361438</v>
      </c>
      <c r="AB26" s="164">
        <f t="shared" si="13"/>
        <v>246.19769420862428</v>
      </c>
      <c r="AC26" s="164">
        <f t="shared" si="13"/>
        <v>254.1223039659113</v>
      </c>
      <c r="AD26" s="164">
        <f t="shared" si="13"/>
        <v>260.46699258810196</v>
      </c>
      <c r="AE26" s="164">
        <f t="shared" ref="AE26:AF26" si="14">SUMIF(AE27:AE30,"&lt;1E+307")</f>
        <v>258.68124694224088</v>
      </c>
      <c r="AF26" s="164">
        <f t="shared" si="14"/>
        <v>258.15890003720131</v>
      </c>
      <c r="AG26" s="164">
        <f t="shared" ref="AG26" si="15">SUMIF(AG27:AG30,"&lt;1E+307")</f>
        <v>241.31240475914052</v>
      </c>
      <c r="AH26" s="164">
        <f t="shared" ref="AH26:AL26" si="16">SUMIF(AH27:AH30,"&lt;1E+307")</f>
        <v>236.84853918319442</v>
      </c>
      <c r="AI26" s="164">
        <f t="shared" si="16"/>
        <v>249.15587381950965</v>
      </c>
      <c r="AJ26" s="164">
        <f t="shared" si="16"/>
        <v>238.11259600925922</v>
      </c>
      <c r="AK26" s="164">
        <f t="shared" si="16"/>
        <v>241.24062279643942</v>
      </c>
      <c r="AL26" s="164">
        <f t="shared" si="16"/>
        <v>228.57130419366959</v>
      </c>
    </row>
    <row r="27" spans="2:38" s="149" customFormat="1" ht="18.75" customHeight="1">
      <c r="B27" s="18" t="s">
        <v>4</v>
      </c>
      <c r="C27" s="167">
        <v>3.4839966912178637</v>
      </c>
      <c r="D27" s="167">
        <v>3.3889757791956918</v>
      </c>
      <c r="E27" s="167">
        <v>2.9731471823679598</v>
      </c>
      <c r="F27" s="167">
        <v>2.6837229087543544</v>
      </c>
      <c r="G27" s="167">
        <v>2.8271881743571252</v>
      </c>
      <c r="H27" s="167">
        <v>2.8066358335146511</v>
      </c>
      <c r="I27" s="167">
        <v>2.6226657886467803</v>
      </c>
      <c r="J27" s="167">
        <v>2.7957944107853168</v>
      </c>
      <c r="K27" s="167">
        <v>2.7571793785535461</v>
      </c>
      <c r="L27" s="167">
        <v>2.9060191936468129</v>
      </c>
      <c r="M27" s="167">
        <v>3.0446459251859941</v>
      </c>
      <c r="N27" s="167">
        <v>2.8934927384148117</v>
      </c>
      <c r="O27" s="167">
        <v>2.8087348599535473</v>
      </c>
      <c r="P27" s="167">
        <v>2.7792335893826214</v>
      </c>
      <c r="Q27" s="167">
        <v>2.6401473860071407</v>
      </c>
      <c r="R27" s="167">
        <v>2.6813114669504627</v>
      </c>
      <c r="S27" s="167">
        <v>2.7610927496650124</v>
      </c>
      <c r="T27" s="167">
        <v>2.8258971196153464</v>
      </c>
      <c r="U27" s="167">
        <v>2.8404438236888412</v>
      </c>
      <c r="V27" s="167">
        <v>2.6153653226934548</v>
      </c>
      <c r="W27" s="167">
        <v>2.5443403846096597</v>
      </c>
      <c r="X27" s="167">
        <v>2.5533946094362499</v>
      </c>
      <c r="Y27" s="167">
        <v>2.4641396979043213</v>
      </c>
      <c r="Z27" s="167">
        <v>2.3956319610143377</v>
      </c>
      <c r="AA27" s="167">
        <v>2.543832661625768</v>
      </c>
      <c r="AB27" s="167">
        <v>2.6792495005789023</v>
      </c>
      <c r="AC27" s="167">
        <v>2.5387771592351962</v>
      </c>
      <c r="AD27" s="167">
        <v>2.5921655606541019</v>
      </c>
      <c r="AE27" s="167">
        <v>2.780268352407</v>
      </c>
      <c r="AF27" s="167">
        <v>2.9236461665151752</v>
      </c>
      <c r="AG27" s="167">
        <v>2.0387826601685943</v>
      </c>
      <c r="AH27" s="167">
        <v>2.1768104378884288</v>
      </c>
      <c r="AI27" s="167">
        <v>2.422715129660487</v>
      </c>
      <c r="AJ27" s="167">
        <v>1.5312922543467355</v>
      </c>
      <c r="AK27" s="167">
        <v>1.5231532568762514</v>
      </c>
      <c r="AL27" s="167">
        <v>1.5993510666207309</v>
      </c>
    </row>
    <row r="28" spans="2:38" s="149" customFormat="1" ht="18.75" customHeight="1">
      <c r="B28" s="89" t="s">
        <v>5</v>
      </c>
      <c r="C28" s="166">
        <v>1812.7468828523929</v>
      </c>
      <c r="D28" s="166">
        <v>1486.6635855136349</v>
      </c>
      <c r="E28" s="166">
        <v>1297.8553370066002</v>
      </c>
      <c r="F28" s="166">
        <v>1136.8736141192164</v>
      </c>
      <c r="G28" s="166">
        <v>967.21698229890512</v>
      </c>
      <c r="H28" s="166">
        <v>892.02602370153636</v>
      </c>
      <c r="I28" s="166">
        <v>813.24689439867859</v>
      </c>
      <c r="J28" s="166">
        <v>731.20682723923539</v>
      </c>
      <c r="K28" s="166">
        <v>668.71099640908324</v>
      </c>
      <c r="L28" s="166">
        <v>612.1466483706231</v>
      </c>
      <c r="M28" s="166">
        <v>553.29756508284891</v>
      </c>
      <c r="N28" s="166">
        <v>503.33641434655863</v>
      </c>
      <c r="O28" s="166">
        <v>470.72225593592771</v>
      </c>
      <c r="P28" s="166">
        <v>427.8745941077521</v>
      </c>
      <c r="Q28" s="166">
        <v>403.97571394339428</v>
      </c>
      <c r="R28" s="166">
        <v>370.36947713029804</v>
      </c>
      <c r="S28" s="166">
        <v>353.93647521503198</v>
      </c>
      <c r="T28" s="166">
        <v>320.485161636496</v>
      </c>
      <c r="U28" s="166">
        <v>294.21577449482277</v>
      </c>
      <c r="V28" s="166">
        <v>284.0877362503835</v>
      </c>
      <c r="W28" s="166">
        <v>264.51594107349882</v>
      </c>
      <c r="X28" s="166">
        <v>257.68576593631934</v>
      </c>
      <c r="Y28" s="166">
        <v>240.41806291661015</v>
      </c>
      <c r="Z28" s="166">
        <v>238.73521997023096</v>
      </c>
      <c r="AA28" s="166">
        <v>238.76664647681349</v>
      </c>
      <c r="AB28" s="166">
        <v>241.38298288968605</v>
      </c>
      <c r="AC28" s="166">
        <v>248.68012211604602</v>
      </c>
      <c r="AD28" s="166">
        <v>255.16840076388002</v>
      </c>
      <c r="AE28" s="166">
        <v>250.71033766319442</v>
      </c>
      <c r="AF28" s="166">
        <v>250.81169563740715</v>
      </c>
      <c r="AG28" s="166">
        <v>232.64783811086039</v>
      </c>
      <c r="AH28" s="166">
        <v>228.47058163542994</v>
      </c>
      <c r="AI28" s="166">
        <v>236.67794726466116</v>
      </c>
      <c r="AJ28" s="166">
        <v>229.03888420590508</v>
      </c>
      <c r="AK28" s="166">
        <v>229.38000690232681</v>
      </c>
      <c r="AL28" s="166">
        <v>216.65233972217428</v>
      </c>
    </row>
    <row r="29" spans="2:38" s="149" customFormat="1" ht="18.75" customHeight="1">
      <c r="B29" s="18" t="s">
        <v>6</v>
      </c>
      <c r="C29" s="167">
        <v>19.734808450866772</v>
      </c>
      <c r="D29" s="167">
        <v>18.027666712295066</v>
      </c>
      <c r="E29" s="167">
        <v>16.907688076031747</v>
      </c>
      <c r="F29" s="167">
        <v>15.784323512239748</v>
      </c>
      <c r="G29" s="167">
        <v>14.376471763864139</v>
      </c>
      <c r="H29" s="167">
        <v>13.143015692764092</v>
      </c>
      <c r="I29" s="167">
        <v>12.326456934917442</v>
      </c>
      <c r="J29" s="167">
        <v>8.5104393651158308</v>
      </c>
      <c r="K29" s="167">
        <v>6.3650211596015138</v>
      </c>
      <c r="L29" s="167">
        <v>6.1917373375695641</v>
      </c>
      <c r="M29" s="167">
        <v>5.2107884956347439</v>
      </c>
      <c r="N29" s="167">
        <v>3.1470904655377332</v>
      </c>
      <c r="O29" s="167">
        <v>1.2760626815164469</v>
      </c>
      <c r="P29" s="167">
        <v>1.2362350866767469</v>
      </c>
      <c r="Q29" s="167">
        <v>1.1592789330938518</v>
      </c>
      <c r="R29" s="167">
        <v>0.9984110380759309</v>
      </c>
      <c r="S29" s="167">
        <v>0.87015692694165248</v>
      </c>
      <c r="T29" s="167">
        <v>0.79097031212745594</v>
      </c>
      <c r="U29" s="167">
        <v>0.74418348003431845</v>
      </c>
      <c r="V29" s="167">
        <v>0.63222606574211804</v>
      </c>
      <c r="W29" s="167">
        <v>0.63745852299739014</v>
      </c>
      <c r="X29" s="167">
        <v>0.65537853087131492</v>
      </c>
      <c r="Y29" s="167">
        <v>0.5012783074289664</v>
      </c>
      <c r="Z29" s="167">
        <v>0.46908754906297062</v>
      </c>
      <c r="AA29" s="167">
        <v>0.40632858199868532</v>
      </c>
      <c r="AB29" s="167">
        <v>0.39860674202063578</v>
      </c>
      <c r="AC29" s="167">
        <v>0.42265994956631436</v>
      </c>
      <c r="AD29" s="167">
        <v>0.34319786229778354</v>
      </c>
      <c r="AE29" s="167">
        <v>0.28475683046647138</v>
      </c>
      <c r="AF29" s="167">
        <v>0.31677272309664345</v>
      </c>
      <c r="AG29" s="167">
        <v>0.33318209400428256</v>
      </c>
      <c r="AH29" s="167">
        <v>0.33263621247374203</v>
      </c>
      <c r="AI29" s="167">
        <v>0.29750109548942416</v>
      </c>
      <c r="AJ29" s="167">
        <v>0.27692977861850865</v>
      </c>
      <c r="AK29" s="167">
        <v>0.2642380650709521</v>
      </c>
      <c r="AL29" s="167">
        <v>0.266247529470443</v>
      </c>
    </row>
    <row r="30" spans="2:38" s="149" customFormat="1" ht="18.75" customHeight="1">
      <c r="B30" s="89" t="s">
        <v>7</v>
      </c>
      <c r="C30" s="166">
        <v>2.6469709197357707</v>
      </c>
      <c r="D30" s="166">
        <v>2.558325466881453</v>
      </c>
      <c r="E30" s="166">
        <v>2.607309686344772</v>
      </c>
      <c r="F30" s="166">
        <v>2.5850671153661402</v>
      </c>
      <c r="G30" s="166">
        <v>2.4890640466243141</v>
      </c>
      <c r="H30" s="166">
        <v>2.0995734501637617</v>
      </c>
      <c r="I30" s="166">
        <v>1.9432782983396364</v>
      </c>
      <c r="J30" s="166">
        <v>1.6717654348922129</v>
      </c>
      <c r="K30" s="166">
        <v>1.6531195354445034</v>
      </c>
      <c r="L30" s="166">
        <v>1.4749404242638893</v>
      </c>
      <c r="M30" s="166">
        <v>1.4025469905742434</v>
      </c>
      <c r="N30" s="166">
        <v>1.381511750564351</v>
      </c>
      <c r="O30" s="166">
        <v>1.3196751473608455</v>
      </c>
      <c r="P30" s="166">
        <v>1.5489243372601844</v>
      </c>
      <c r="Q30" s="166">
        <v>1.6314221879832893</v>
      </c>
      <c r="R30" s="166">
        <v>1.7240643871078787</v>
      </c>
      <c r="S30" s="166">
        <v>1.7199546796790861</v>
      </c>
      <c r="T30" s="166">
        <v>1.5589392985836461</v>
      </c>
      <c r="U30" s="166">
        <v>1.6755719873886876</v>
      </c>
      <c r="V30" s="166">
        <v>1.423266881418636</v>
      </c>
      <c r="W30" s="166">
        <v>1.4854554663674975</v>
      </c>
      <c r="X30" s="166">
        <v>1.3754013615076788</v>
      </c>
      <c r="Y30" s="166">
        <v>1.5174756798557305</v>
      </c>
      <c r="Z30" s="166">
        <v>1.3433594346402324</v>
      </c>
      <c r="AA30" s="166">
        <v>1.7003729131764267</v>
      </c>
      <c r="AB30" s="166">
        <v>1.7368550763387065</v>
      </c>
      <c r="AC30" s="166">
        <v>2.4807447410637722</v>
      </c>
      <c r="AD30" s="166">
        <v>2.363228401270093</v>
      </c>
      <c r="AE30" s="166">
        <v>4.905884096172942</v>
      </c>
      <c r="AF30" s="166">
        <v>4.1067855101823127</v>
      </c>
      <c r="AG30" s="166">
        <v>6.2926018941072286</v>
      </c>
      <c r="AH30" s="166">
        <v>5.8685108974023157</v>
      </c>
      <c r="AI30" s="166">
        <v>9.7577103296985843</v>
      </c>
      <c r="AJ30" s="166">
        <v>7.2654897703889079</v>
      </c>
      <c r="AK30" s="166">
        <v>10.073224572165435</v>
      </c>
      <c r="AL30" s="166">
        <v>10.05336587540415</v>
      </c>
    </row>
    <row r="31" spans="2:38" s="149" customFormat="1" ht="18.75" customHeight="1">
      <c r="B31" s="1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2:38" s="10" customFormat="1" ht="18.75" customHeight="1">
      <c r="B32" s="152" t="s">
        <v>15</v>
      </c>
      <c r="C32" s="164">
        <f>SUMIF(C33:C40,"&lt;1E+307")</f>
        <v>46384.698636851121</v>
      </c>
      <c r="D32" s="164">
        <f t="shared" ref="D32:AF32" si="17">SUMIF(D33:D40,"&lt;1E+307")</f>
        <v>41339.414765584464</v>
      </c>
      <c r="E32" s="164">
        <f t="shared" si="17"/>
        <v>40579.531839024981</v>
      </c>
      <c r="F32" s="164">
        <f t="shared" si="17"/>
        <v>40742.09522991733</v>
      </c>
      <c r="G32" s="164">
        <f t="shared" si="17"/>
        <v>40982.424072187241</v>
      </c>
      <c r="H32" s="164">
        <f t="shared" si="17"/>
        <v>41136.87735731298</v>
      </c>
      <c r="I32" s="164">
        <f t="shared" si="17"/>
        <v>41278.657349317247</v>
      </c>
      <c r="J32" s="164">
        <f t="shared" si="17"/>
        <v>40213.388598364167</v>
      </c>
      <c r="K32" s="164">
        <f t="shared" si="17"/>
        <v>40150.955759589066</v>
      </c>
      <c r="L32" s="164">
        <f t="shared" si="17"/>
        <v>39836.997465805041</v>
      </c>
      <c r="M32" s="164">
        <f t="shared" si="17"/>
        <v>39283.051363349921</v>
      </c>
      <c r="N32" s="164">
        <f t="shared" si="17"/>
        <v>39859.46315110218</v>
      </c>
      <c r="O32" s="164">
        <f t="shared" si="17"/>
        <v>38454.368871368082</v>
      </c>
      <c r="P32" s="164">
        <f t="shared" si="17"/>
        <v>38116.53111074031</v>
      </c>
      <c r="Q32" s="164">
        <f t="shared" si="17"/>
        <v>37056.769348971611</v>
      </c>
      <c r="R32" s="164">
        <f t="shared" si="17"/>
        <v>36901.696075455373</v>
      </c>
      <c r="S32" s="164">
        <f t="shared" si="17"/>
        <v>36230.179538074204</v>
      </c>
      <c r="T32" s="164">
        <f t="shared" si="17"/>
        <v>36479.17291171306</v>
      </c>
      <c r="U32" s="164">
        <f t="shared" si="17"/>
        <v>36686.32404071495</v>
      </c>
      <c r="V32" s="164">
        <f t="shared" si="17"/>
        <v>36785.200078619775</v>
      </c>
      <c r="W32" s="164">
        <f t="shared" si="17"/>
        <v>36500.472074745034</v>
      </c>
      <c r="X32" s="164">
        <f t="shared" si="17"/>
        <v>36292.635687772075</v>
      </c>
      <c r="Y32" s="164">
        <f t="shared" si="17"/>
        <v>36455.780349354849</v>
      </c>
      <c r="Z32" s="164">
        <f t="shared" si="17"/>
        <v>37099.237360569612</v>
      </c>
      <c r="AA32" s="164">
        <f t="shared" si="17"/>
        <v>37542.360201395517</v>
      </c>
      <c r="AB32" s="164">
        <f t="shared" si="17"/>
        <v>37497.024965314849</v>
      </c>
      <c r="AC32" s="164">
        <f t="shared" si="17"/>
        <v>37239.032256989078</v>
      </c>
      <c r="AD32" s="164">
        <f t="shared" si="17"/>
        <v>37048.308846884313</v>
      </c>
      <c r="AE32" s="164">
        <f t="shared" si="17"/>
        <v>36542.637864623452</v>
      </c>
      <c r="AF32" s="164">
        <f t="shared" si="17"/>
        <v>36228.390649362394</v>
      </c>
      <c r="AG32" s="164">
        <f t="shared" ref="AG32" si="18">SUMIF(AG33:AG40,"&lt;1E+307")</f>
        <v>35743.521560747184</v>
      </c>
      <c r="AH32" s="164">
        <f t="shared" ref="AH32:AL32" si="19">SUMIF(AH33:AH40,"&lt;1E+307")</f>
        <v>34825.553408746047</v>
      </c>
      <c r="AI32" s="164">
        <f t="shared" si="19"/>
        <v>34335.811269724516</v>
      </c>
      <c r="AJ32" s="164">
        <f t="shared" si="19"/>
        <v>34363.385109543509</v>
      </c>
      <c r="AK32" s="164">
        <f t="shared" si="19"/>
        <v>33723.59292410918</v>
      </c>
      <c r="AL32" s="164">
        <f t="shared" si="19"/>
        <v>33725.109301452918</v>
      </c>
    </row>
    <row r="33" spans="2:38" s="149" customFormat="1" ht="18.75" customHeight="1">
      <c r="B33" s="18" t="s">
        <v>18</v>
      </c>
      <c r="C33" s="167">
        <v>272.15437743343324</v>
      </c>
      <c r="D33" s="167">
        <v>110.67236485287511</v>
      </c>
      <c r="E33" s="167">
        <v>80.359367305829679</v>
      </c>
      <c r="F33" s="167">
        <v>78.038098145118667</v>
      </c>
      <c r="G33" s="167">
        <v>62.918424815344338</v>
      </c>
      <c r="H33" s="167">
        <v>74.550410839651761</v>
      </c>
      <c r="I33" s="167">
        <v>71.359283806299331</v>
      </c>
      <c r="J33" s="167">
        <v>71.927316122992664</v>
      </c>
      <c r="K33" s="167">
        <v>67.111035543352259</v>
      </c>
      <c r="L33" s="167">
        <v>64.187532151439953</v>
      </c>
      <c r="M33" s="167">
        <v>71.056977412757561</v>
      </c>
      <c r="N33" s="167">
        <v>63.290961402386898</v>
      </c>
      <c r="O33" s="167">
        <v>62.701329545006672</v>
      </c>
      <c r="P33" s="167">
        <v>53.990235098410793</v>
      </c>
      <c r="Q33" s="167">
        <v>55.401721589516683</v>
      </c>
      <c r="R33" s="167">
        <v>60.200486028862244</v>
      </c>
      <c r="S33" s="167">
        <v>72.001038199367343</v>
      </c>
      <c r="T33" s="167">
        <v>104.45208525493003</v>
      </c>
      <c r="U33" s="167">
        <v>96.443445997093647</v>
      </c>
      <c r="V33" s="167">
        <v>103.23598000635791</v>
      </c>
      <c r="W33" s="167">
        <v>132.13739151597923</v>
      </c>
      <c r="X33" s="167">
        <v>145.12178147003016</v>
      </c>
      <c r="Y33" s="167">
        <v>148.88748648894938</v>
      </c>
      <c r="Z33" s="167">
        <v>156.58776912197121</v>
      </c>
      <c r="AA33" s="167">
        <v>173.8175399694513</v>
      </c>
      <c r="AB33" s="167">
        <v>188.37897107958131</v>
      </c>
      <c r="AC33" s="167">
        <v>196.93293134115939</v>
      </c>
      <c r="AD33" s="167">
        <v>206.8833051020091</v>
      </c>
      <c r="AE33" s="167">
        <v>196.71569135800056</v>
      </c>
      <c r="AF33" s="167">
        <v>198.84750298247795</v>
      </c>
      <c r="AG33" s="167">
        <v>206.36770720715325</v>
      </c>
      <c r="AH33" s="167">
        <v>213.99096047928765</v>
      </c>
      <c r="AI33" s="167">
        <v>216.83524556889822</v>
      </c>
      <c r="AJ33" s="167">
        <v>202.69701107608935</v>
      </c>
      <c r="AK33" s="167">
        <v>203.5232439926954</v>
      </c>
      <c r="AL33" s="167">
        <v>198.98079421820873</v>
      </c>
    </row>
    <row r="34" spans="2:38" s="149" customFormat="1" ht="18.75" customHeight="1">
      <c r="B34" s="89" t="s">
        <v>29</v>
      </c>
      <c r="C34" s="166">
        <v>37623.818570134441</v>
      </c>
      <c r="D34" s="166">
        <v>33628.537763700529</v>
      </c>
      <c r="E34" s="166">
        <v>32826.754687014298</v>
      </c>
      <c r="F34" s="166">
        <v>32912.896474748908</v>
      </c>
      <c r="G34" s="166">
        <v>33123.775099132072</v>
      </c>
      <c r="H34" s="166">
        <v>33221.251289155305</v>
      </c>
      <c r="I34" s="166">
        <v>33271.361275518255</v>
      </c>
      <c r="J34" s="166">
        <v>32299.357543138274</v>
      </c>
      <c r="K34" s="166">
        <v>32070.473420170722</v>
      </c>
      <c r="L34" s="166">
        <v>31804.316751529699</v>
      </c>
      <c r="M34" s="166">
        <v>31287.378755775884</v>
      </c>
      <c r="N34" s="166">
        <v>31764.778917567564</v>
      </c>
      <c r="O34" s="166">
        <v>30547.860155399798</v>
      </c>
      <c r="P34" s="166">
        <v>30178.909691242588</v>
      </c>
      <c r="Q34" s="166">
        <v>29356.259196745803</v>
      </c>
      <c r="R34" s="166">
        <v>29158.174775412775</v>
      </c>
      <c r="S34" s="166">
        <v>28583.613982304109</v>
      </c>
      <c r="T34" s="166">
        <v>28701.576294346993</v>
      </c>
      <c r="U34" s="166">
        <v>28935.175879035734</v>
      </c>
      <c r="V34" s="166">
        <v>28946.635446492211</v>
      </c>
      <c r="W34" s="166">
        <v>28765.126016082399</v>
      </c>
      <c r="X34" s="166">
        <v>28390.152139165373</v>
      </c>
      <c r="Y34" s="166">
        <v>28397.042956882487</v>
      </c>
      <c r="Z34" s="166">
        <v>28745.592399611112</v>
      </c>
      <c r="AA34" s="166">
        <v>28986.641203496751</v>
      </c>
      <c r="AB34" s="166">
        <v>28920.93643026131</v>
      </c>
      <c r="AC34" s="166">
        <v>28634.82408399753</v>
      </c>
      <c r="AD34" s="166">
        <v>28414.03225172645</v>
      </c>
      <c r="AE34" s="166">
        <v>27989.804268351345</v>
      </c>
      <c r="AF34" s="166">
        <v>27676.508983736436</v>
      </c>
      <c r="AG34" s="166">
        <v>27260.502253098137</v>
      </c>
      <c r="AH34" s="166">
        <v>26742.03336682776</v>
      </c>
      <c r="AI34" s="166">
        <v>26473.023260342168</v>
      </c>
      <c r="AJ34" s="166">
        <v>26428.064953704634</v>
      </c>
      <c r="AK34" s="166">
        <v>25847.951169644228</v>
      </c>
      <c r="AL34" s="166">
        <v>25868.084010169121</v>
      </c>
    </row>
    <row r="35" spans="2:38" s="149" customFormat="1" ht="18.75" customHeight="1">
      <c r="B35" s="18" t="s">
        <v>30</v>
      </c>
      <c r="C35" s="167">
        <v>8488.4121828347324</v>
      </c>
      <c r="D35" s="167">
        <v>7599.4453554533375</v>
      </c>
      <c r="E35" s="167">
        <v>7671.393351001846</v>
      </c>
      <c r="F35" s="167">
        <v>7749.8281295476781</v>
      </c>
      <c r="G35" s="167">
        <v>7794.0916491785047</v>
      </c>
      <c r="H35" s="167">
        <v>7837.1002172832332</v>
      </c>
      <c r="I35" s="167">
        <v>7929.3295085943009</v>
      </c>
      <c r="J35" s="167">
        <v>7833.7578885214434</v>
      </c>
      <c r="K35" s="167">
        <v>7994.5362276088581</v>
      </c>
      <c r="L35" s="167">
        <v>7947.0902321835974</v>
      </c>
      <c r="M35" s="167">
        <v>7890.6415785843174</v>
      </c>
      <c r="N35" s="167">
        <v>7983.1821280921549</v>
      </c>
      <c r="O35" s="167">
        <v>7774.5106667159862</v>
      </c>
      <c r="P35" s="167">
        <v>7801.7153051037822</v>
      </c>
      <c r="Q35" s="167">
        <v>7539.1189764100336</v>
      </c>
      <c r="R35" s="167">
        <v>7402.078071147178</v>
      </c>
      <c r="S35" s="167">
        <v>7186.2316285211955</v>
      </c>
      <c r="T35" s="167">
        <v>7151.2556639697141</v>
      </c>
      <c r="U35" s="167">
        <v>7056.1046400168234</v>
      </c>
      <c r="V35" s="167">
        <v>6980.134432777274</v>
      </c>
      <c r="W35" s="167">
        <v>6669.0892863682811</v>
      </c>
      <c r="X35" s="167">
        <v>6612.7279922633707</v>
      </c>
      <c r="Y35" s="167">
        <v>6707.250608060227</v>
      </c>
      <c r="Z35" s="167">
        <v>6749.0440801982459</v>
      </c>
      <c r="AA35" s="167">
        <v>6876.8833631132984</v>
      </c>
      <c r="AB35" s="167">
        <v>6835.1543610183526</v>
      </c>
      <c r="AC35" s="167">
        <v>6873.8127421576783</v>
      </c>
      <c r="AD35" s="167">
        <v>6928.8420784241562</v>
      </c>
      <c r="AE35" s="167">
        <v>6889.8161267480964</v>
      </c>
      <c r="AF35" s="167">
        <v>6907.0780178842215</v>
      </c>
      <c r="AG35" s="167">
        <v>6820.6805685817644</v>
      </c>
      <c r="AH35" s="167">
        <v>6462.5739429864707</v>
      </c>
      <c r="AI35" s="167">
        <v>6131.473482412558</v>
      </c>
      <c r="AJ35" s="167">
        <v>6287.309029200047</v>
      </c>
      <c r="AK35" s="167">
        <v>6226.8043949095236</v>
      </c>
      <c r="AL35" s="167">
        <v>6212.730253777373</v>
      </c>
    </row>
    <row r="36" spans="2:38" s="149" customFormat="1" ht="18.75" customHeight="1">
      <c r="B36" s="89" t="s">
        <v>31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  <c r="H36" s="166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66">
        <v>0</v>
      </c>
      <c r="R36" s="166">
        <v>0</v>
      </c>
      <c r="S36" s="166">
        <v>0</v>
      </c>
      <c r="T36" s="166">
        <v>0</v>
      </c>
      <c r="U36" s="166">
        <v>0</v>
      </c>
      <c r="V36" s="166">
        <v>0</v>
      </c>
      <c r="W36" s="166">
        <v>0</v>
      </c>
      <c r="X36" s="166">
        <v>0</v>
      </c>
      <c r="Y36" s="166">
        <v>0</v>
      </c>
      <c r="Z36" s="166">
        <v>0</v>
      </c>
      <c r="AA36" s="166">
        <v>0</v>
      </c>
      <c r="AB36" s="166">
        <v>0</v>
      </c>
      <c r="AC36" s="166">
        <v>0</v>
      </c>
      <c r="AD36" s="166">
        <v>0</v>
      </c>
      <c r="AE36" s="166">
        <v>0</v>
      </c>
      <c r="AF36" s="166">
        <v>0</v>
      </c>
      <c r="AG36" s="166">
        <v>0</v>
      </c>
      <c r="AH36" s="166">
        <v>0</v>
      </c>
      <c r="AI36" s="166">
        <v>0</v>
      </c>
      <c r="AJ36" s="166">
        <v>0</v>
      </c>
      <c r="AK36" s="166">
        <v>0</v>
      </c>
      <c r="AL36" s="166">
        <v>0</v>
      </c>
    </row>
    <row r="37" spans="2:38" s="149" customFormat="1" ht="18.75" customHeight="1">
      <c r="B37" s="18" t="s">
        <v>32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</row>
    <row r="38" spans="2:38" s="149" customFormat="1" ht="18.75" customHeight="1">
      <c r="B38" s="89" t="s">
        <v>33</v>
      </c>
      <c r="C38" s="166">
        <v>0</v>
      </c>
      <c r="D38" s="166">
        <v>0</v>
      </c>
      <c r="E38" s="166">
        <v>0</v>
      </c>
      <c r="F38" s="166">
        <v>0</v>
      </c>
      <c r="G38" s="166">
        <v>0</v>
      </c>
      <c r="H38" s="166">
        <v>0</v>
      </c>
      <c r="I38" s="166">
        <v>0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  <c r="V38" s="166">
        <v>0</v>
      </c>
      <c r="W38" s="166">
        <v>0</v>
      </c>
      <c r="X38" s="166">
        <v>0</v>
      </c>
      <c r="Y38" s="166">
        <v>0</v>
      </c>
      <c r="Z38" s="166">
        <v>0</v>
      </c>
      <c r="AA38" s="166">
        <v>0</v>
      </c>
      <c r="AB38" s="166">
        <v>0</v>
      </c>
      <c r="AC38" s="166">
        <v>0</v>
      </c>
      <c r="AD38" s="166">
        <v>0</v>
      </c>
      <c r="AE38" s="166">
        <v>0</v>
      </c>
      <c r="AF38" s="166">
        <v>0</v>
      </c>
      <c r="AG38" s="166">
        <v>0</v>
      </c>
      <c r="AH38" s="166">
        <v>0</v>
      </c>
      <c r="AI38" s="166">
        <v>0</v>
      </c>
      <c r="AJ38" s="166">
        <v>0</v>
      </c>
      <c r="AK38" s="166">
        <v>0</v>
      </c>
      <c r="AL38" s="166">
        <v>0</v>
      </c>
    </row>
    <row r="39" spans="2:38" s="149" customFormat="1" ht="18.75" customHeight="1">
      <c r="B39" s="18" t="s">
        <v>34</v>
      </c>
      <c r="C39" s="167">
        <v>0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</row>
    <row r="40" spans="2:38" s="149" customFormat="1" ht="18.75" customHeight="1">
      <c r="B40" s="89" t="s">
        <v>35</v>
      </c>
      <c r="C40" s="166">
        <v>0.31350644850819803</v>
      </c>
      <c r="D40" s="166">
        <v>0.7592815777168036</v>
      </c>
      <c r="E40" s="166">
        <v>1.0244337030112247</v>
      </c>
      <c r="F40" s="166">
        <v>1.3325274756284982</v>
      </c>
      <c r="G40" s="166">
        <v>1.6388990613206273</v>
      </c>
      <c r="H40" s="166">
        <v>3.975440034795116</v>
      </c>
      <c r="I40" s="166">
        <v>6.60728139839253</v>
      </c>
      <c r="J40" s="166">
        <v>8.3458505814580768</v>
      </c>
      <c r="K40" s="166">
        <v>18.83507626613471</v>
      </c>
      <c r="L40" s="166">
        <v>21.402949940303682</v>
      </c>
      <c r="M40" s="166">
        <v>33.974051576955837</v>
      </c>
      <c r="N40" s="166">
        <v>48.21114404006601</v>
      </c>
      <c r="O40" s="166">
        <v>69.296719707293136</v>
      </c>
      <c r="P40" s="166">
        <v>81.915879295530033</v>
      </c>
      <c r="Q40" s="166">
        <v>105.98945422625393</v>
      </c>
      <c r="R40" s="166">
        <v>281.24274286655304</v>
      </c>
      <c r="S40" s="166">
        <v>388.33288904953463</v>
      </c>
      <c r="T40" s="166">
        <v>521.88886814142177</v>
      </c>
      <c r="U40" s="166">
        <v>598.60007566529964</v>
      </c>
      <c r="V40" s="166">
        <v>755.19421934393256</v>
      </c>
      <c r="W40" s="166">
        <v>934.11938077837794</v>
      </c>
      <c r="X40" s="166">
        <v>1144.6337748733069</v>
      </c>
      <c r="Y40" s="166">
        <v>1202.5992979231867</v>
      </c>
      <c r="Z40" s="166">
        <v>1448.013111638285</v>
      </c>
      <c r="AA40" s="166">
        <v>1505.0180948160164</v>
      </c>
      <c r="AB40" s="166">
        <v>1552.5552029556052</v>
      </c>
      <c r="AC40" s="166">
        <v>1533.4624994927153</v>
      </c>
      <c r="AD40" s="166">
        <v>1498.5512116316934</v>
      </c>
      <c r="AE40" s="166">
        <v>1466.3017781660121</v>
      </c>
      <c r="AF40" s="166">
        <v>1445.9561447592584</v>
      </c>
      <c r="AG40" s="166">
        <v>1455.9710318601303</v>
      </c>
      <c r="AH40" s="166">
        <v>1406.9551384525232</v>
      </c>
      <c r="AI40" s="166">
        <v>1514.4792814008892</v>
      </c>
      <c r="AJ40" s="166">
        <v>1445.3141155627372</v>
      </c>
      <c r="AK40" s="166">
        <v>1445.3141155627372</v>
      </c>
      <c r="AL40" s="166">
        <v>1445.3142432882194</v>
      </c>
    </row>
    <row r="41" spans="2:38" s="149" customFormat="1" ht="18.75" customHeight="1">
      <c r="B41" s="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</row>
    <row r="42" spans="2:38" s="10" customFormat="1" ht="18.75" customHeight="1">
      <c r="B42" s="152" t="s">
        <v>16</v>
      </c>
      <c r="C42" s="164">
        <f>SUMIF(C43:C46,"&lt;1E+307")</f>
        <v>40986.660012860521</v>
      </c>
      <c r="D42" s="164">
        <f t="shared" ref="D42:AD42" si="20">SUMIF(D43:D46,"&lt;1E+307")</f>
        <v>42457.743805095663</v>
      </c>
      <c r="E42" s="164">
        <f t="shared" si="20"/>
        <v>42973.46001482608</v>
      </c>
      <c r="F42" s="164">
        <f t="shared" si="20"/>
        <v>42621.729665858264</v>
      </c>
      <c r="G42" s="164">
        <f t="shared" si="20"/>
        <v>41466.068757638066</v>
      </c>
      <c r="H42" s="164">
        <f t="shared" si="20"/>
        <v>40116.519302063723</v>
      </c>
      <c r="I42" s="164">
        <f t="shared" si="20"/>
        <v>38240.576667992056</v>
      </c>
      <c r="J42" s="164">
        <f t="shared" si="20"/>
        <v>34862.185499923959</v>
      </c>
      <c r="K42" s="164">
        <f t="shared" si="20"/>
        <v>32258.385046530602</v>
      </c>
      <c r="L42" s="164">
        <f t="shared" si="20"/>
        <v>30212.705833382566</v>
      </c>
      <c r="M42" s="164">
        <f t="shared" si="20"/>
        <v>28275.628688611985</v>
      </c>
      <c r="N42" s="164">
        <f t="shared" si="20"/>
        <v>26241.457215665756</v>
      </c>
      <c r="O42" s="164">
        <f t="shared" si="20"/>
        <v>24483.299207932192</v>
      </c>
      <c r="P42" s="164">
        <f t="shared" si="20"/>
        <v>22687.929094147912</v>
      </c>
      <c r="Q42" s="164">
        <f t="shared" si="20"/>
        <v>20095.728127259274</v>
      </c>
      <c r="R42" s="164">
        <f t="shared" si="20"/>
        <v>18328.858407935997</v>
      </c>
      <c r="S42" s="164">
        <f t="shared" si="20"/>
        <v>16449.164778805458</v>
      </c>
      <c r="T42" s="164">
        <f t="shared" si="20"/>
        <v>14911.978955642739</v>
      </c>
      <c r="U42" s="164">
        <f t="shared" si="20"/>
        <v>13513.780822829804</v>
      </c>
      <c r="V42" s="164">
        <f t="shared" si="20"/>
        <v>12114.886785256107</v>
      </c>
      <c r="W42" s="164">
        <f t="shared" si="20"/>
        <v>10859.685332250696</v>
      </c>
      <c r="X42" s="164">
        <f t="shared" si="20"/>
        <v>9960.6523771278626</v>
      </c>
      <c r="Y42" s="164">
        <f t="shared" si="20"/>
        <v>9130.0633667210877</v>
      </c>
      <c r="Z42" s="164">
        <f t="shared" si="20"/>
        <v>8334.5803925747532</v>
      </c>
      <c r="AA42" s="164">
        <f t="shared" si="20"/>
        <v>7700.4109174880259</v>
      </c>
      <c r="AB42" s="164">
        <f t="shared" si="20"/>
        <v>7078.853902450036</v>
      </c>
      <c r="AC42" s="164">
        <f t="shared" si="20"/>
        <v>6538.8718600063248</v>
      </c>
      <c r="AD42" s="164">
        <f t="shared" si="20"/>
        <v>6151.698186198194</v>
      </c>
      <c r="AE42" s="164">
        <f t="shared" ref="AE42:AF42" si="21">SUMIF(AE43:AE46,"&lt;1E+307")</f>
        <v>5761.9510082378811</v>
      </c>
      <c r="AF42" s="164">
        <f t="shared" si="21"/>
        <v>5231.5802101039062</v>
      </c>
      <c r="AG42" s="164">
        <f t="shared" ref="AG42" si="22">SUMIF(AG43:AG46,"&lt;1E+307")</f>
        <v>4745.6737322866775</v>
      </c>
      <c r="AH42" s="164">
        <f t="shared" ref="AH42:AL42" si="23">SUMIF(AH43:AH46,"&lt;1E+307")</f>
        <v>4528.5553696894194</v>
      </c>
      <c r="AI42" s="164">
        <f t="shared" si="23"/>
        <v>4280.3183292186059</v>
      </c>
      <c r="AJ42" s="164">
        <f t="shared" si="23"/>
        <v>4075.0050916921791</v>
      </c>
      <c r="AK42" s="164">
        <f t="shared" si="23"/>
        <v>3901.3618373247618</v>
      </c>
      <c r="AL42" s="164">
        <f t="shared" si="23"/>
        <v>3750.1196545952102</v>
      </c>
    </row>
    <row r="43" spans="2:38" s="149" customFormat="1" ht="18.75" customHeight="1">
      <c r="B43" s="18" t="s">
        <v>19</v>
      </c>
      <c r="C43" s="167">
        <v>37191.252</v>
      </c>
      <c r="D43" s="167">
        <v>39322.5</v>
      </c>
      <c r="E43" s="167">
        <v>40268.116000000002</v>
      </c>
      <c r="F43" s="167">
        <v>40154.239999999998</v>
      </c>
      <c r="G43" s="167">
        <v>39212.824000000001</v>
      </c>
      <c r="H43" s="167">
        <v>37857.175999999999</v>
      </c>
      <c r="I43" s="167">
        <v>36060.023999999998</v>
      </c>
      <c r="J43" s="167">
        <v>32792.06</v>
      </c>
      <c r="K43" s="167">
        <v>30293.144</v>
      </c>
      <c r="L43" s="167">
        <v>28232.763999999999</v>
      </c>
      <c r="M43" s="167">
        <v>26271.559999999998</v>
      </c>
      <c r="N43" s="167">
        <v>24258.471999999998</v>
      </c>
      <c r="O43" s="167">
        <v>22439.396000000001</v>
      </c>
      <c r="P43" s="167">
        <v>20668.2</v>
      </c>
      <c r="Q43" s="167">
        <v>18093.683999999997</v>
      </c>
      <c r="R43" s="167">
        <v>16360.596</v>
      </c>
      <c r="S43" s="167">
        <v>14511.195999999998</v>
      </c>
      <c r="T43" s="167">
        <v>12969.46</v>
      </c>
      <c r="U43" s="167">
        <v>11613.616</v>
      </c>
      <c r="V43" s="167">
        <v>10232.348</v>
      </c>
      <c r="W43" s="167">
        <v>9015.1880000000001</v>
      </c>
      <c r="X43" s="167">
        <v>8067.5279999999993</v>
      </c>
      <c r="Y43" s="167">
        <v>7233.2399999999989</v>
      </c>
      <c r="Z43" s="167">
        <v>6471.2479999999996</v>
      </c>
      <c r="AA43" s="167">
        <v>5796.616</v>
      </c>
      <c r="AB43" s="167">
        <v>5191.8440000000001</v>
      </c>
      <c r="AC43" s="167">
        <v>4657.1840000000002</v>
      </c>
      <c r="AD43" s="167">
        <v>4284.1399999999994</v>
      </c>
      <c r="AE43" s="167">
        <v>3944.5839999999998</v>
      </c>
      <c r="AF43" s="167">
        <v>3426.7239999999997</v>
      </c>
      <c r="AG43" s="167">
        <v>2973.096</v>
      </c>
      <c r="AH43" s="167">
        <v>2685.5079999999998</v>
      </c>
      <c r="AI43" s="167">
        <v>2431.9007999999999</v>
      </c>
      <c r="AJ43" s="167">
        <v>2203.88</v>
      </c>
      <c r="AK43" s="167">
        <v>1997.1559999999999</v>
      </c>
      <c r="AL43" s="167">
        <v>1845.8999999999999</v>
      </c>
    </row>
    <row r="44" spans="2:38" s="149" customFormat="1" ht="18.75" customHeight="1">
      <c r="B44" s="89" t="s">
        <v>71</v>
      </c>
      <c r="C44" s="166">
        <v>59.387999999999998</v>
      </c>
      <c r="D44" s="166">
        <v>70.91279999999999</v>
      </c>
      <c r="E44" s="166">
        <v>82.437600000000003</v>
      </c>
      <c r="F44" s="166">
        <v>93.962400000000002</v>
      </c>
      <c r="G44" s="166">
        <v>148.28054639999999</v>
      </c>
      <c r="H44" s="166">
        <v>202.59865359999995</v>
      </c>
      <c r="I44" s="166">
        <v>256.91679999999997</v>
      </c>
      <c r="J44" s="166">
        <v>282.78879999999998</v>
      </c>
      <c r="K44" s="166">
        <v>314.78395759999995</v>
      </c>
      <c r="L44" s="166">
        <v>367.87643759999997</v>
      </c>
      <c r="M44" s="166">
        <v>425.75214080000001</v>
      </c>
      <c r="N44" s="166">
        <v>439.34967999999998</v>
      </c>
      <c r="O44" s="166">
        <v>530.07729599999993</v>
      </c>
      <c r="P44" s="166">
        <v>537.34775919999993</v>
      </c>
      <c r="Q44" s="166">
        <v>551.67806399999995</v>
      </c>
      <c r="R44" s="166">
        <v>545.9569808</v>
      </c>
      <c r="S44" s="166">
        <v>558.30572560000007</v>
      </c>
      <c r="T44" s="166">
        <v>598.95565519999991</v>
      </c>
      <c r="U44" s="166">
        <v>590.79840960000013</v>
      </c>
      <c r="V44" s="166">
        <v>608.80500799999993</v>
      </c>
      <c r="W44" s="166">
        <v>605.34380480000004</v>
      </c>
      <c r="X44" s="166">
        <v>683.20453039999995</v>
      </c>
      <c r="Y44" s="166">
        <v>714.12349119999988</v>
      </c>
      <c r="Z44" s="166">
        <v>708.20221359999994</v>
      </c>
      <c r="AA44" s="166">
        <v>772.50318880000009</v>
      </c>
      <c r="AB44" s="166">
        <v>773.08911119999993</v>
      </c>
      <c r="AC44" s="166">
        <v>793.58561519999989</v>
      </c>
      <c r="AD44" s="166">
        <v>805.74032</v>
      </c>
      <c r="AE44" s="166">
        <v>782.47903999999994</v>
      </c>
      <c r="AF44" s="166">
        <v>797.92383999999993</v>
      </c>
      <c r="AG44" s="166">
        <v>794.72119999999995</v>
      </c>
      <c r="AH44" s="166">
        <v>863.41919999999993</v>
      </c>
      <c r="AI44" s="166">
        <v>869.22809119999977</v>
      </c>
      <c r="AJ44" s="166">
        <v>887.42527999999993</v>
      </c>
      <c r="AK44" s="166">
        <v>918.32664</v>
      </c>
      <c r="AL44" s="166">
        <v>918.32664</v>
      </c>
    </row>
    <row r="45" spans="2:38" s="149" customFormat="1" ht="18.75" customHeight="1">
      <c r="B45" s="18" t="s">
        <v>20</v>
      </c>
      <c r="C45" s="167">
        <v>3736.0200128605175</v>
      </c>
      <c r="D45" s="167">
        <v>3064.3310050956638</v>
      </c>
      <c r="E45" s="167">
        <v>2622.90641482608</v>
      </c>
      <c r="F45" s="167">
        <v>2373.5272658582721</v>
      </c>
      <c r="G45" s="167">
        <v>2104.9642112380698</v>
      </c>
      <c r="H45" s="167">
        <v>2055.9403484637232</v>
      </c>
      <c r="I45" s="167">
        <v>1922.0272679920636</v>
      </c>
      <c r="J45" s="167">
        <v>1784.9237999239556</v>
      </c>
      <c r="K45" s="167">
        <v>1647.2398889306007</v>
      </c>
      <c r="L45" s="167">
        <v>1608.0438957825675</v>
      </c>
      <c r="M45" s="167">
        <v>1573.083767811989</v>
      </c>
      <c r="N45" s="167">
        <v>1537.9919956657591</v>
      </c>
      <c r="O45" s="167">
        <v>1507.2970119321903</v>
      </c>
      <c r="P45" s="167">
        <v>1476.0456349479098</v>
      </c>
      <c r="Q45" s="167">
        <v>1443.8917632592747</v>
      </c>
      <c r="R45" s="167">
        <v>1411.7214271359985</v>
      </c>
      <c r="S45" s="167">
        <v>1376.9542699254616</v>
      </c>
      <c r="T45" s="167">
        <v>1340.8241889627411</v>
      </c>
      <c r="U45" s="167">
        <v>1306.4740529898038</v>
      </c>
      <c r="V45" s="167">
        <v>1270.7793720961081</v>
      </c>
      <c r="W45" s="167">
        <v>1236.1179304106945</v>
      </c>
      <c r="X45" s="167">
        <v>1206.6501744478646</v>
      </c>
      <c r="Y45" s="167">
        <v>1179.5829404410895</v>
      </c>
      <c r="Z45" s="167">
        <v>1152.0852276947544</v>
      </c>
      <c r="AA45" s="167">
        <v>1128.2170338480255</v>
      </c>
      <c r="AB45" s="167">
        <v>1110.9261190100362</v>
      </c>
      <c r="AC45" s="167">
        <v>1085.2171194863254</v>
      </c>
      <c r="AD45" s="167">
        <v>1059.0240177981948</v>
      </c>
      <c r="AE45" s="167">
        <v>1032.1322675978809</v>
      </c>
      <c r="AF45" s="167">
        <v>1004.195962583906</v>
      </c>
      <c r="AG45" s="167">
        <v>975.16755368667702</v>
      </c>
      <c r="AH45" s="167">
        <v>977.00372072941923</v>
      </c>
      <c r="AI45" s="167">
        <v>976.67833613860626</v>
      </c>
      <c r="AJ45" s="167">
        <v>981.26551689217911</v>
      </c>
      <c r="AK45" s="167">
        <v>983.52170960476167</v>
      </c>
      <c r="AL45" s="167">
        <v>983.61233395521037</v>
      </c>
    </row>
    <row r="46" spans="2:38" s="149" customFormat="1" ht="18.75" customHeight="1">
      <c r="B46" s="89" t="s">
        <v>28</v>
      </c>
      <c r="C46" s="166">
        <v>0</v>
      </c>
      <c r="D46" s="166">
        <v>0</v>
      </c>
      <c r="E46" s="166">
        <v>0</v>
      </c>
      <c r="F46" s="166">
        <v>0</v>
      </c>
      <c r="G46" s="166">
        <v>0</v>
      </c>
      <c r="H46" s="166">
        <v>0.80430000000000001</v>
      </c>
      <c r="I46" s="166">
        <v>1.6086</v>
      </c>
      <c r="J46" s="166">
        <v>2.4129</v>
      </c>
      <c r="K46" s="166">
        <v>3.2172000000000001</v>
      </c>
      <c r="L46" s="166">
        <v>4.0214999999999996</v>
      </c>
      <c r="M46" s="166">
        <v>5.23278</v>
      </c>
      <c r="N46" s="166">
        <v>5.6435399999999998</v>
      </c>
      <c r="O46" s="166">
        <v>6.5289000000000001</v>
      </c>
      <c r="P46" s="166">
        <v>6.3357000000000001</v>
      </c>
      <c r="Q46" s="166">
        <v>6.4742999999999995</v>
      </c>
      <c r="R46" s="166">
        <v>10.584</v>
      </c>
      <c r="S46" s="166">
        <v>2.7087832799999996</v>
      </c>
      <c r="T46" s="166">
        <v>2.73911148</v>
      </c>
      <c r="U46" s="166">
        <v>2.8923602399999999</v>
      </c>
      <c r="V46" s="166">
        <v>2.9544051599999999</v>
      </c>
      <c r="W46" s="166">
        <v>3.0355970399999999</v>
      </c>
      <c r="X46" s="166">
        <v>3.26967228</v>
      </c>
      <c r="Y46" s="166">
        <v>3.1169350799999997</v>
      </c>
      <c r="Z46" s="166">
        <v>3.0449512800000003</v>
      </c>
      <c r="AA46" s="166">
        <v>3.0746948399999998</v>
      </c>
      <c r="AB46" s="166">
        <v>2.9946722399999999</v>
      </c>
      <c r="AC46" s="166">
        <v>2.8851253200000002</v>
      </c>
      <c r="AD46" s="166">
        <v>2.7938483999999999</v>
      </c>
      <c r="AE46" s="166">
        <v>2.7557006400000001</v>
      </c>
      <c r="AF46" s="166">
        <v>2.7364075199999998</v>
      </c>
      <c r="AG46" s="166">
        <v>2.6889786</v>
      </c>
      <c r="AH46" s="166">
        <v>2.6244489600000001</v>
      </c>
      <c r="AI46" s="166">
        <v>2.5111018800000005</v>
      </c>
      <c r="AJ46" s="166">
        <v>2.4342948</v>
      </c>
      <c r="AK46" s="166">
        <v>2.35748772</v>
      </c>
      <c r="AL46" s="166">
        <v>2.2806806399999999</v>
      </c>
    </row>
    <row r="47" spans="2:38" s="149" customFormat="1" ht="18.75" customHeight="1">
      <c r="B47" s="18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</row>
    <row r="48" spans="2:38" s="10" customFormat="1" ht="18.75" customHeight="1">
      <c r="B48" s="152" t="s">
        <v>124</v>
      </c>
      <c r="C48" s="164">
        <f>SUMIF(C49:C54,"&lt;1E+307")</f>
        <v>8451.2133456122392</v>
      </c>
      <c r="D48" s="164">
        <f t="shared" ref="D48:AH48" si="24">SUMIF(D49:D54,"&lt;1E+307")</f>
        <v>7635.7957366980791</v>
      </c>
      <c r="E48" s="164">
        <f t="shared" si="24"/>
        <v>7102.9805304914407</v>
      </c>
      <c r="F48" s="164">
        <f t="shared" si="24"/>
        <v>9930.1978396082777</v>
      </c>
      <c r="G48" s="164">
        <f t="shared" si="24"/>
        <v>8370.5452697649434</v>
      </c>
      <c r="H48" s="164">
        <f t="shared" si="24"/>
        <v>8119.8540849880774</v>
      </c>
      <c r="I48" s="164">
        <f t="shared" si="24"/>
        <v>7590.8113936340978</v>
      </c>
      <c r="J48" s="164">
        <f t="shared" si="24"/>
        <v>7442.3892457103557</v>
      </c>
      <c r="K48" s="164">
        <f t="shared" si="24"/>
        <v>10418.310527231179</v>
      </c>
      <c r="L48" s="164">
        <f t="shared" si="24"/>
        <v>7941.5988639798024</v>
      </c>
      <c r="M48" s="164">
        <f t="shared" si="24"/>
        <v>8110.2792049570617</v>
      </c>
      <c r="N48" s="164">
        <f t="shared" si="24"/>
        <v>9489.7547738590638</v>
      </c>
      <c r="O48" s="164">
        <f t="shared" si="24"/>
        <v>9890.3906358884433</v>
      </c>
      <c r="P48" s="164">
        <f t="shared" si="24"/>
        <v>6640.4189370532149</v>
      </c>
      <c r="Q48" s="164">
        <f t="shared" si="24"/>
        <v>8271.6247796810039</v>
      </c>
      <c r="R48" s="164">
        <f t="shared" si="24"/>
        <v>7960.9221513267312</v>
      </c>
      <c r="S48" s="164">
        <f t="shared" si="24"/>
        <v>7161.787586467527</v>
      </c>
      <c r="T48" s="164">
        <f t="shared" si="24"/>
        <v>9388.4851145905832</v>
      </c>
      <c r="U48" s="164">
        <f t="shared" si="24"/>
        <v>7473.5372226195786</v>
      </c>
      <c r="V48" s="164">
        <f t="shared" si="24"/>
        <v>7407.2093701121603</v>
      </c>
      <c r="W48" s="164">
        <f t="shared" si="24"/>
        <v>8459.564981682639</v>
      </c>
      <c r="X48" s="164">
        <f t="shared" si="24"/>
        <v>8326.5729643062932</v>
      </c>
      <c r="Y48" s="164">
        <f t="shared" si="24"/>
        <v>7741.6687148119745</v>
      </c>
      <c r="Z48" s="164">
        <f t="shared" si="24"/>
        <v>7923.3265934955034</v>
      </c>
      <c r="AA48" s="164">
        <f t="shared" si="24"/>
        <v>7596.7895463611194</v>
      </c>
      <c r="AB48" s="164">
        <f t="shared" si="24"/>
        <v>7696.9660993910184</v>
      </c>
      <c r="AC48" s="164">
        <f t="shared" si="24"/>
        <v>7387.700009629094</v>
      </c>
      <c r="AD48" s="164">
        <f t="shared" si="24"/>
        <v>9244.0641772985655</v>
      </c>
      <c r="AE48" s="164">
        <f t="shared" si="24"/>
        <v>6262.2760529645921</v>
      </c>
      <c r="AF48" s="164">
        <f t="shared" si="24"/>
        <v>7360.7503927078196</v>
      </c>
      <c r="AG48" s="164">
        <f t="shared" si="24"/>
        <v>7091.622187734346</v>
      </c>
      <c r="AH48" s="164">
        <f t="shared" si="24"/>
        <v>8295.2891941265189</v>
      </c>
      <c r="AI48" s="164">
        <f t="shared" ref="AI48:AL48" si="25">SUMIF(AI49:AI54,"&lt;1E+307")</f>
        <v>6677.3899362782186</v>
      </c>
      <c r="AJ48" s="164">
        <f t="shared" si="25"/>
        <v>9671.6748758370977</v>
      </c>
      <c r="AK48" s="164">
        <f t="shared" si="25"/>
        <v>8540.2582982862241</v>
      </c>
      <c r="AL48" s="164">
        <f t="shared" si="25"/>
        <v>7036.7460354239965</v>
      </c>
    </row>
    <row r="49" spans="2:38" s="149" customFormat="1" ht="18.75" customHeight="1">
      <c r="B49" s="18" t="s">
        <v>125</v>
      </c>
      <c r="C49" s="167">
        <v>32.440123592239999</v>
      </c>
      <c r="D49" s="167">
        <v>28.28871929408</v>
      </c>
      <c r="E49" s="167">
        <v>52.887930143439988</v>
      </c>
      <c r="F49" s="167">
        <v>31.947413992275603</v>
      </c>
      <c r="G49" s="167">
        <v>29.670073964943999</v>
      </c>
      <c r="H49" s="167">
        <v>26.511450352077603</v>
      </c>
      <c r="I49" s="167">
        <v>31.408777302098002</v>
      </c>
      <c r="J49" s="167">
        <v>26.703274338356003</v>
      </c>
      <c r="K49" s="167">
        <v>25.548344995179999</v>
      </c>
      <c r="L49" s="167">
        <v>25.7262387878048</v>
      </c>
      <c r="M49" s="167">
        <v>26.831380365061996</v>
      </c>
      <c r="N49" s="167">
        <v>24.1188057630632</v>
      </c>
      <c r="O49" s="167">
        <v>24.208602180447997</v>
      </c>
      <c r="P49" s="167">
        <v>31.547117265215999</v>
      </c>
      <c r="Q49" s="167">
        <v>25.284969861004001</v>
      </c>
      <c r="R49" s="167">
        <v>24.820038534731999</v>
      </c>
      <c r="S49" s="167">
        <v>26.733093607528001</v>
      </c>
      <c r="T49" s="167">
        <v>25.411025298582</v>
      </c>
      <c r="U49" s="167">
        <v>27.242931351580001</v>
      </c>
      <c r="V49" s="167">
        <v>25.647487256160002</v>
      </c>
      <c r="W49" s="167">
        <v>27.35940861864</v>
      </c>
      <c r="X49" s="167">
        <v>25.510091322295999</v>
      </c>
      <c r="Y49" s="167">
        <v>25.898777887975999</v>
      </c>
      <c r="Z49" s="167">
        <v>25.496017111504798</v>
      </c>
      <c r="AA49" s="167">
        <v>25.042234197120003</v>
      </c>
      <c r="AB49" s="167">
        <v>27.697463887018799</v>
      </c>
      <c r="AC49" s="167">
        <v>26.233545725094398</v>
      </c>
      <c r="AD49" s="167">
        <v>27.074315134566</v>
      </c>
      <c r="AE49" s="167">
        <v>39.950126840593761</v>
      </c>
      <c r="AF49" s="167">
        <v>42.303798703821194</v>
      </c>
      <c r="AG49" s="167">
        <v>27.112084090346077</v>
      </c>
      <c r="AH49" s="167">
        <v>25.713328722520039</v>
      </c>
      <c r="AI49" s="167">
        <v>44.4439393142192</v>
      </c>
      <c r="AJ49" s="167">
        <v>32.725214153097753</v>
      </c>
      <c r="AK49" s="167">
        <v>26.911098082222757</v>
      </c>
      <c r="AL49" s="167">
        <v>26.897840199999997</v>
      </c>
    </row>
    <row r="50" spans="2:38" s="149" customFormat="1" ht="18.75" customHeight="1">
      <c r="B50" s="89" t="s">
        <v>126</v>
      </c>
      <c r="C50" s="166">
        <v>413.90376019999985</v>
      </c>
      <c r="D50" s="166">
        <v>284.48726319999997</v>
      </c>
      <c r="E50" s="166">
        <v>215.66481020000001</v>
      </c>
      <c r="F50" s="166">
        <v>576.36210660000006</v>
      </c>
      <c r="G50" s="166">
        <v>406.67441219999989</v>
      </c>
      <c r="H50" s="166">
        <v>281.81339199999979</v>
      </c>
      <c r="I50" s="166">
        <v>231.58485699999986</v>
      </c>
      <c r="J50" s="166">
        <v>252.57665300000014</v>
      </c>
      <c r="K50" s="166">
        <v>726.85279099999991</v>
      </c>
      <c r="L50" s="166">
        <v>323.09321520000003</v>
      </c>
      <c r="M50" s="166">
        <v>321.2558439999998</v>
      </c>
      <c r="N50" s="166">
        <v>518.49731779999991</v>
      </c>
      <c r="O50" s="166">
        <v>575.92118079999989</v>
      </c>
      <c r="P50" s="166">
        <v>160.74440339999998</v>
      </c>
      <c r="Q50" s="166">
        <v>387.6085066</v>
      </c>
      <c r="R50" s="166">
        <v>308.77729680000004</v>
      </c>
      <c r="S50" s="166">
        <v>208.5689228</v>
      </c>
      <c r="T50" s="166">
        <v>529.01676520000001</v>
      </c>
      <c r="U50" s="166">
        <v>272.24855280000003</v>
      </c>
      <c r="V50" s="166">
        <v>220.36955780000008</v>
      </c>
      <c r="W50" s="166">
        <v>316.96638400000001</v>
      </c>
      <c r="X50" s="166">
        <v>347.49475600000005</v>
      </c>
      <c r="Y50" s="166">
        <v>303.84085200000004</v>
      </c>
      <c r="Z50" s="166">
        <v>277.37222800000006</v>
      </c>
      <c r="AA50" s="166">
        <v>255.01389200000014</v>
      </c>
      <c r="AB50" s="166">
        <v>374.93825599999991</v>
      </c>
      <c r="AC50" s="166">
        <v>201.43017999999992</v>
      </c>
      <c r="AD50" s="166">
        <v>457.20424399999985</v>
      </c>
      <c r="AE50" s="166">
        <v>92.438808000000023</v>
      </c>
      <c r="AF50" s="166">
        <v>198.51495999999989</v>
      </c>
      <c r="AG50" s="166">
        <v>165.73636799999991</v>
      </c>
      <c r="AH50" s="166">
        <v>296.08003600000001</v>
      </c>
      <c r="AI50" s="166">
        <v>114.076984</v>
      </c>
      <c r="AJ50" s="166">
        <v>620.83358400000043</v>
      </c>
      <c r="AK50" s="166">
        <v>312.22567600000019</v>
      </c>
      <c r="AL50" s="166">
        <v>135.70572400000006</v>
      </c>
    </row>
    <row r="51" spans="2:38" s="149" customFormat="1" ht="18.75" customHeight="1">
      <c r="B51" s="18" t="s">
        <v>129</v>
      </c>
      <c r="C51" s="167">
        <v>2582.3348767999996</v>
      </c>
      <c r="D51" s="167">
        <v>1888.3558049999995</v>
      </c>
      <c r="E51" s="167">
        <v>1409.5994192000001</v>
      </c>
      <c r="F51" s="167">
        <v>3915.5656428000007</v>
      </c>
      <c r="G51" s="167">
        <v>2503.3288125999993</v>
      </c>
      <c r="H51" s="167">
        <v>2390.4492513999999</v>
      </c>
      <c r="I51" s="167">
        <v>1893.3563068000005</v>
      </c>
      <c r="J51" s="167">
        <v>1715.6347347999997</v>
      </c>
      <c r="K51" s="167">
        <v>4247.8452925999991</v>
      </c>
      <c r="L51" s="167">
        <v>2166.5677655999989</v>
      </c>
      <c r="M51" s="167">
        <v>2324.8567552000004</v>
      </c>
      <c r="N51" s="167">
        <v>3524.0464867999995</v>
      </c>
      <c r="O51" s="167">
        <v>3865.8613293999983</v>
      </c>
      <c r="P51" s="167">
        <v>1043.1209866000002</v>
      </c>
      <c r="Q51" s="167">
        <v>2409.5634037999994</v>
      </c>
      <c r="R51" s="167">
        <v>2173.2039042000001</v>
      </c>
      <c r="S51" s="167">
        <v>1489.1348135999995</v>
      </c>
      <c r="T51" s="167">
        <v>3400.8043930000013</v>
      </c>
      <c r="U51" s="167">
        <v>1721.78629</v>
      </c>
      <c r="V51" s="167">
        <v>1703.2348227999996</v>
      </c>
      <c r="W51" s="167">
        <v>2642.9477199999992</v>
      </c>
      <c r="X51" s="167">
        <v>2510.5153919999989</v>
      </c>
      <c r="Y51" s="167">
        <v>1947.3385960000003</v>
      </c>
      <c r="Z51" s="167">
        <v>2148.3891239999998</v>
      </c>
      <c r="AA51" s="167">
        <v>1839.882996</v>
      </c>
      <c r="AB51" s="167">
        <v>1834.1615320000003</v>
      </c>
      <c r="AC51" s="167">
        <v>1699.6710919999991</v>
      </c>
      <c r="AD51" s="167">
        <v>3310.7332719999995</v>
      </c>
      <c r="AE51" s="167">
        <v>687.14603999999997</v>
      </c>
      <c r="AF51" s="167">
        <v>1657.1731399999999</v>
      </c>
      <c r="AG51" s="167">
        <v>1425.0270439999999</v>
      </c>
      <c r="AH51" s="167">
        <v>2468.6574919999994</v>
      </c>
      <c r="AI51" s="167">
        <v>1061.7813080000005</v>
      </c>
      <c r="AJ51" s="167">
        <v>3508.2397280000005</v>
      </c>
      <c r="AK51" s="167">
        <v>2657.3109920000002</v>
      </c>
      <c r="AL51" s="167">
        <v>1366.1220999999996</v>
      </c>
    </row>
    <row r="52" spans="2:38" s="149" customFormat="1" ht="18.75" customHeight="1">
      <c r="B52" s="89" t="s">
        <v>130</v>
      </c>
      <c r="C52" s="166">
        <v>5368.7142579839992</v>
      </c>
      <c r="D52" s="166">
        <v>5392.6501825839996</v>
      </c>
      <c r="E52" s="166">
        <v>5390.9872219839999</v>
      </c>
      <c r="F52" s="166">
        <v>5315.9590015839995</v>
      </c>
      <c r="G52" s="166">
        <v>5378.5235007840001</v>
      </c>
      <c r="H52" s="166">
        <v>5364.4745595839995</v>
      </c>
      <c r="I52" s="166">
        <v>5393.1062969839995</v>
      </c>
      <c r="J52" s="166">
        <v>5406.0302709839998</v>
      </c>
      <c r="K52" s="166">
        <v>5306.5516917839996</v>
      </c>
      <c r="L52" s="166">
        <v>5377.2546219839987</v>
      </c>
      <c r="M52" s="166">
        <v>5380.0514019839993</v>
      </c>
      <c r="N52" s="166">
        <v>5337.5241787840005</v>
      </c>
      <c r="O52" s="166">
        <v>5329.1046753839983</v>
      </c>
      <c r="P52" s="166">
        <v>5377.3955697839992</v>
      </c>
      <c r="Q52" s="166">
        <v>5391.3605949839994</v>
      </c>
      <c r="R52" s="166">
        <v>5399.9671509839991</v>
      </c>
      <c r="S52" s="166">
        <v>5397.8728069839999</v>
      </c>
      <c r="T52" s="166">
        <v>5352.531296784</v>
      </c>
      <c r="U52" s="166">
        <v>5407.8611041839986</v>
      </c>
      <c r="V52" s="166">
        <v>5412.4669053839998</v>
      </c>
      <c r="W52" s="166">
        <v>5414.3331207839992</v>
      </c>
      <c r="X52" s="166">
        <v>5391.2218031839984</v>
      </c>
      <c r="Y52" s="166">
        <v>5411.1592535839982</v>
      </c>
      <c r="Z52" s="166">
        <v>5415.4930095839982</v>
      </c>
      <c r="AA52" s="166">
        <v>5429.0047119839992</v>
      </c>
      <c r="AB52" s="166">
        <v>5408.5637543839994</v>
      </c>
      <c r="AC52" s="166">
        <v>5407.7372727840002</v>
      </c>
      <c r="AD52" s="166">
        <v>5366.5925887839994</v>
      </c>
      <c r="AE52" s="166">
        <v>5314.1614295839991</v>
      </c>
      <c r="AF52" s="166">
        <v>5409.1303959839988</v>
      </c>
      <c r="AG52" s="166">
        <v>5424.0067063839997</v>
      </c>
      <c r="AH52" s="166">
        <v>5421.6181607839999</v>
      </c>
      <c r="AI52" s="166">
        <v>5418.0482279839998</v>
      </c>
      <c r="AJ52" s="166">
        <v>5385.3816639839997</v>
      </c>
      <c r="AK52" s="166">
        <v>5447.3770295839995</v>
      </c>
      <c r="AL52" s="166">
        <v>5464.7882085439996</v>
      </c>
    </row>
    <row r="53" spans="2:38" s="149" customFormat="1" ht="18.75" customHeight="1">
      <c r="B53" s="18" t="s">
        <v>131</v>
      </c>
      <c r="C53" s="167">
        <v>53.820327036000009</v>
      </c>
      <c r="D53" s="167">
        <v>42.013766619999998</v>
      </c>
      <c r="E53" s="167">
        <v>33.841148964000013</v>
      </c>
      <c r="F53" s="167">
        <v>90.363674631999984</v>
      </c>
      <c r="G53" s="167">
        <v>52.348470216000003</v>
      </c>
      <c r="H53" s="167">
        <v>56.605431651999979</v>
      </c>
      <c r="I53" s="167">
        <v>41.355155547999999</v>
      </c>
      <c r="J53" s="167">
        <v>41.444312587999988</v>
      </c>
      <c r="K53" s="167">
        <v>111.51240685200003</v>
      </c>
      <c r="L53" s="167">
        <v>48.957022408000007</v>
      </c>
      <c r="M53" s="167">
        <v>57.283823408000011</v>
      </c>
      <c r="N53" s="167">
        <v>85.567984712000012</v>
      </c>
      <c r="O53" s="167">
        <v>95.294848123999998</v>
      </c>
      <c r="P53" s="167">
        <v>27.610860004000003</v>
      </c>
      <c r="Q53" s="167">
        <v>57.807304436000003</v>
      </c>
      <c r="R53" s="167">
        <v>54.153760807999994</v>
      </c>
      <c r="S53" s="167">
        <v>39.477949476000006</v>
      </c>
      <c r="T53" s="167">
        <v>80.721634308000006</v>
      </c>
      <c r="U53" s="167">
        <v>44.398344283999997</v>
      </c>
      <c r="V53" s="167">
        <v>45.490596872000012</v>
      </c>
      <c r="W53" s="167">
        <v>57.958348279999996</v>
      </c>
      <c r="X53" s="167">
        <v>51.830921799999999</v>
      </c>
      <c r="Y53" s="167">
        <v>53.431235340000001</v>
      </c>
      <c r="Z53" s="167">
        <v>56.576214799999995</v>
      </c>
      <c r="AA53" s="167">
        <v>47.84571218</v>
      </c>
      <c r="AB53" s="167">
        <v>51.605093119999992</v>
      </c>
      <c r="AC53" s="167">
        <v>52.627919120000001</v>
      </c>
      <c r="AD53" s="167">
        <v>82.459757379999971</v>
      </c>
      <c r="AE53" s="167">
        <v>128.57964854000002</v>
      </c>
      <c r="AF53" s="167">
        <v>53.62809802000001</v>
      </c>
      <c r="AG53" s="167">
        <v>49.739985259999997</v>
      </c>
      <c r="AH53" s="167">
        <v>83.220176620000004</v>
      </c>
      <c r="AI53" s="167">
        <v>39.039476980000003</v>
      </c>
      <c r="AJ53" s="167">
        <v>124.49468569999995</v>
      </c>
      <c r="AK53" s="167">
        <v>96.433502619999999</v>
      </c>
      <c r="AL53" s="167">
        <v>43.232162679997259</v>
      </c>
    </row>
    <row r="54" spans="2:38" s="149" customFormat="1" ht="18.75" customHeight="1">
      <c r="B54" s="89" t="s">
        <v>127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0</v>
      </c>
      <c r="V54" s="166">
        <v>0</v>
      </c>
      <c r="W54" s="166">
        <v>0</v>
      </c>
      <c r="X54" s="166">
        <v>0</v>
      </c>
      <c r="Y54" s="166">
        <v>0</v>
      </c>
      <c r="Z54" s="166">
        <v>0</v>
      </c>
      <c r="AA54" s="166">
        <v>0</v>
      </c>
      <c r="AB54" s="166">
        <v>0</v>
      </c>
      <c r="AC54" s="166">
        <v>0</v>
      </c>
      <c r="AD54" s="166">
        <v>0</v>
      </c>
      <c r="AE54" s="166">
        <v>0</v>
      </c>
      <c r="AF54" s="166">
        <v>0</v>
      </c>
      <c r="AG54" s="166">
        <v>0</v>
      </c>
      <c r="AH54" s="166">
        <v>0</v>
      </c>
      <c r="AI54" s="166">
        <v>0</v>
      </c>
      <c r="AJ54" s="166">
        <v>0</v>
      </c>
      <c r="AK54" s="166">
        <v>0</v>
      </c>
      <c r="AL54" s="166">
        <v>0</v>
      </c>
    </row>
    <row r="55" spans="2:38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L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9" customWidth="1"/>
    <col min="34" max="35" width="10.85546875" style="87" customWidth="1"/>
    <col min="36" max="38" width="10.85546875" style="149" customWidth="1"/>
    <col min="39" max="16384" width="11.42578125" style="2"/>
  </cols>
  <sheetData>
    <row r="1" spans="2:38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2:38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2:38" ht="22.5" customHeight="1">
      <c r="B3" s="3" t="s">
        <v>36</v>
      </c>
      <c r="C3" s="23" t="s">
        <v>154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76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4">
        <v>43831</v>
      </c>
      <c r="AH4" s="154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5" t="s">
        <v>21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163"/>
      <c r="AH5" s="139"/>
      <c r="AI5" s="20"/>
      <c r="AJ5" s="163"/>
      <c r="AK5" s="163"/>
      <c r="AL5" s="163"/>
    </row>
    <row r="6" spans="2:38" s="10" customFormat="1" ht="18.75" customHeight="1">
      <c r="B6" s="24" t="s">
        <v>22</v>
      </c>
      <c r="C6" s="25">
        <f t="shared" ref="C6:AH6" si="0">SUM(C9,C14,C21,C26,C32,C42)</f>
        <v>52317.272707020362</v>
      </c>
      <c r="D6" s="25">
        <f t="shared" si="0"/>
        <v>50155.143298865485</v>
      </c>
      <c r="E6" s="25">
        <f t="shared" si="0"/>
        <v>52617.952203822118</v>
      </c>
      <c r="F6" s="25">
        <f t="shared" si="0"/>
        <v>49679.246990423351</v>
      </c>
      <c r="G6" s="25">
        <f t="shared" si="0"/>
        <v>52541.105422350643</v>
      </c>
      <c r="H6" s="25">
        <f t="shared" si="0"/>
        <v>50472.95498950663</v>
      </c>
      <c r="I6" s="25">
        <f t="shared" si="0"/>
        <v>51384.765253361154</v>
      </c>
      <c r="J6" s="25">
        <f t="shared" si="0"/>
        <v>49132.930302386994</v>
      </c>
      <c r="K6" s="25">
        <f t="shared" si="0"/>
        <v>37625.295302717488</v>
      </c>
      <c r="L6" s="25">
        <f t="shared" si="0"/>
        <v>34133.696300652438</v>
      </c>
      <c r="M6" s="25">
        <f t="shared" si="0"/>
        <v>34177.218047047558</v>
      </c>
      <c r="N6" s="25">
        <f t="shared" si="0"/>
        <v>35350.817960074935</v>
      </c>
      <c r="O6" s="25">
        <f t="shared" si="0"/>
        <v>36015.741196154944</v>
      </c>
      <c r="P6" s="25">
        <f t="shared" si="0"/>
        <v>33662.572550502213</v>
      </c>
      <c r="Q6" s="25">
        <f t="shared" si="0"/>
        <v>36263.991848680853</v>
      </c>
      <c r="R6" s="25">
        <f t="shared" si="0"/>
        <v>34836.917114211916</v>
      </c>
      <c r="S6" s="25">
        <f t="shared" si="0"/>
        <v>34348.875882413762</v>
      </c>
      <c r="T6" s="25">
        <f t="shared" si="0"/>
        <v>37531.008823794873</v>
      </c>
      <c r="U6" s="25">
        <f t="shared" si="0"/>
        <v>35044.729628652691</v>
      </c>
      <c r="V6" s="25">
        <f t="shared" si="0"/>
        <v>35632.963383509217</v>
      </c>
      <c r="W6" s="25">
        <f t="shared" si="0"/>
        <v>28785.013145010351</v>
      </c>
      <c r="X6" s="25">
        <f t="shared" si="0"/>
        <v>28559.779101086977</v>
      </c>
      <c r="Y6" s="25">
        <f t="shared" si="0"/>
        <v>28295.277462618433</v>
      </c>
      <c r="Z6" s="25">
        <f t="shared" si="0"/>
        <v>29123.557450836091</v>
      </c>
      <c r="AA6" s="25">
        <f t="shared" si="0"/>
        <v>29066.660268901789</v>
      </c>
      <c r="AB6" s="25">
        <f t="shared" si="0"/>
        <v>28544.479069539306</v>
      </c>
      <c r="AC6" s="25">
        <f t="shared" si="0"/>
        <v>29077.157318561683</v>
      </c>
      <c r="AD6" s="25">
        <f t="shared" si="0"/>
        <v>29132.619197473618</v>
      </c>
      <c r="AE6" s="25">
        <f t="shared" si="0"/>
        <v>26572.674907452547</v>
      </c>
      <c r="AF6" s="25">
        <f t="shared" si="0"/>
        <v>26512.853810597193</v>
      </c>
      <c r="AG6" s="164">
        <f t="shared" si="0"/>
        <v>25349.464816048276</v>
      </c>
      <c r="AH6" s="140">
        <f t="shared" si="0"/>
        <v>25656.166494198307</v>
      </c>
      <c r="AI6" s="164">
        <f t="shared" ref="AI6:AL6" si="1">SUM(AI9,AI14,AI21,AI26,AI32,AI42)</f>
        <v>24094.678258944357</v>
      </c>
      <c r="AJ6" s="164">
        <f t="shared" si="1"/>
        <v>24240.040979405454</v>
      </c>
      <c r="AK6" s="164">
        <f t="shared" si="1"/>
        <v>22857.168442231839</v>
      </c>
      <c r="AL6" s="164">
        <f t="shared" si="1"/>
        <v>22600.464997864259</v>
      </c>
    </row>
    <row r="7" spans="2:38" s="10" customFormat="1" ht="18.75" customHeight="1">
      <c r="B7" s="22" t="s">
        <v>23</v>
      </c>
      <c r="C7" s="26">
        <f t="shared" ref="C7:AH7" si="2">SUM(C9,C14,C21,C26,C32,C42,C48)</f>
        <v>53538.770872919136</v>
      </c>
      <c r="D7" s="26">
        <f t="shared" si="2"/>
        <v>51394.636056527597</v>
      </c>
      <c r="E7" s="26">
        <f t="shared" si="2"/>
        <v>53870.104228192795</v>
      </c>
      <c r="F7" s="26">
        <f t="shared" si="2"/>
        <v>50834.030539112777</v>
      </c>
      <c r="G7" s="26">
        <f t="shared" si="2"/>
        <v>53730.572012195305</v>
      </c>
      <c r="H7" s="26">
        <f t="shared" si="2"/>
        <v>51656.034353423063</v>
      </c>
      <c r="I7" s="26">
        <f t="shared" si="2"/>
        <v>52597.627567063733</v>
      </c>
      <c r="J7" s="26">
        <f t="shared" si="2"/>
        <v>50348.630761881243</v>
      </c>
      <c r="K7" s="26">
        <f t="shared" si="2"/>
        <v>38758.446626386634</v>
      </c>
      <c r="L7" s="26">
        <f t="shared" si="2"/>
        <v>35326.534962072023</v>
      </c>
      <c r="M7" s="26">
        <f t="shared" si="2"/>
        <v>35362.993521459364</v>
      </c>
      <c r="N7" s="26">
        <f t="shared" si="2"/>
        <v>36485.575826560387</v>
      </c>
      <c r="O7" s="26">
        <f t="shared" si="2"/>
        <v>37133.420688009261</v>
      </c>
      <c r="P7" s="26">
        <f t="shared" si="2"/>
        <v>34908.612519777576</v>
      </c>
      <c r="Q7" s="26">
        <f t="shared" si="2"/>
        <v>37436.075314675603</v>
      </c>
      <c r="R7" s="26">
        <f t="shared" si="2"/>
        <v>36011.634396909052</v>
      </c>
      <c r="S7" s="26">
        <f t="shared" si="2"/>
        <v>35561.380214302262</v>
      </c>
      <c r="T7" s="26">
        <f t="shared" si="2"/>
        <v>38665.101243751553</v>
      </c>
      <c r="U7" s="26">
        <f t="shared" si="2"/>
        <v>36251.245375651597</v>
      </c>
      <c r="V7" s="26">
        <f t="shared" si="2"/>
        <v>36783.678911631425</v>
      </c>
      <c r="W7" s="26">
        <f t="shared" si="2"/>
        <v>29913.206984748977</v>
      </c>
      <c r="X7" s="26">
        <f t="shared" si="2"/>
        <v>29689.501400946883</v>
      </c>
      <c r="Y7" s="26">
        <f t="shared" si="2"/>
        <v>29432.184356820169</v>
      </c>
      <c r="Z7" s="26">
        <f t="shared" si="2"/>
        <v>30244.100099108626</v>
      </c>
      <c r="AA7" s="26">
        <f t="shared" si="2"/>
        <v>30241.548888083926</v>
      </c>
      <c r="AB7" s="26">
        <f t="shared" si="2"/>
        <v>29698.478223177626</v>
      </c>
      <c r="AC7" s="26">
        <f t="shared" si="2"/>
        <v>30192.691565349662</v>
      </c>
      <c r="AD7" s="26">
        <f t="shared" si="2"/>
        <v>30172.656136090744</v>
      </c>
      <c r="AE7" s="26">
        <f t="shared" si="2"/>
        <v>27704.494049761313</v>
      </c>
      <c r="AF7" s="26">
        <f t="shared" si="2"/>
        <v>27599.191202664471</v>
      </c>
      <c r="AG7" s="165">
        <f t="shared" si="2"/>
        <v>26428.875911159979</v>
      </c>
      <c r="AH7" s="141">
        <f t="shared" si="2"/>
        <v>26667.690502647405</v>
      </c>
      <c r="AI7" s="165">
        <f t="shared" ref="AI7:AL7" si="3">SUM(AI9,AI14,AI21,AI26,AI32,AI42,AI48)</f>
        <v>25166.181067603029</v>
      </c>
      <c r="AJ7" s="165">
        <f t="shared" si="3"/>
        <v>25206.809307575946</v>
      </c>
      <c r="AK7" s="165">
        <f t="shared" si="3"/>
        <v>23948.733750749059</v>
      </c>
      <c r="AL7" s="165">
        <f t="shared" si="3"/>
        <v>23603.622690991218</v>
      </c>
    </row>
    <row r="8" spans="2:38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6"/>
      <c r="AH8" s="142"/>
      <c r="AI8" s="90"/>
      <c r="AJ8" s="166"/>
      <c r="AK8" s="166"/>
      <c r="AL8" s="166"/>
    </row>
    <row r="9" spans="2:38" s="10" customFormat="1" ht="18.75" customHeight="1">
      <c r="B9" s="5" t="s">
        <v>8</v>
      </c>
      <c r="C9" s="26">
        <f t="shared" ref="C9:AF9" si="4">SUMIF(C10:C12,"&lt;1E+307")</f>
        <v>2831.2732906360543</v>
      </c>
      <c r="D9" s="26">
        <f t="shared" si="4"/>
        <v>2682.2657837498732</v>
      </c>
      <c r="E9" s="26">
        <f t="shared" si="4"/>
        <v>2536.3330839001615</v>
      </c>
      <c r="F9" s="26">
        <f t="shared" si="4"/>
        <v>2432.2347182126255</v>
      </c>
      <c r="G9" s="26">
        <f t="shared" si="4"/>
        <v>2384.1276486094962</v>
      </c>
      <c r="H9" s="26">
        <f t="shared" si="4"/>
        <v>2269.0293209313145</v>
      </c>
      <c r="I9" s="26">
        <f t="shared" si="4"/>
        <v>2246.6792856338702</v>
      </c>
      <c r="J9" s="26">
        <f t="shared" si="4"/>
        <v>2119.4126234914161</v>
      </c>
      <c r="K9" s="26">
        <f t="shared" si="4"/>
        <v>2086.3864438065843</v>
      </c>
      <c r="L9" s="26">
        <f t="shared" si="4"/>
        <v>2027.6357537666941</v>
      </c>
      <c r="M9" s="26">
        <f t="shared" si="4"/>
        <v>2122.5127032894734</v>
      </c>
      <c r="N9" s="26">
        <f t="shared" si="4"/>
        <v>2195.732266786184</v>
      </c>
      <c r="O9" s="26">
        <f t="shared" si="4"/>
        <v>2222.2810847799606</v>
      </c>
      <c r="P9" s="26">
        <f t="shared" si="4"/>
        <v>2335.9254222306199</v>
      </c>
      <c r="Q9" s="26">
        <f t="shared" si="4"/>
        <v>2436.0106740597521</v>
      </c>
      <c r="R9" s="26">
        <f t="shared" si="4"/>
        <v>2368.5536047482683</v>
      </c>
      <c r="S9" s="26">
        <f t="shared" si="4"/>
        <v>2406.9664624027241</v>
      </c>
      <c r="T9" s="26">
        <f t="shared" si="4"/>
        <v>2489.2230882522349</v>
      </c>
      <c r="U9" s="26">
        <f t="shared" si="4"/>
        <v>2419.2909587265544</v>
      </c>
      <c r="V9" s="26">
        <f t="shared" si="4"/>
        <v>2318.8055494015143</v>
      </c>
      <c r="W9" s="26">
        <f t="shared" si="4"/>
        <v>2386.3031670257242</v>
      </c>
      <c r="X9" s="26">
        <f t="shared" si="4"/>
        <v>2422.5008055409162</v>
      </c>
      <c r="Y9" s="26">
        <f t="shared" si="4"/>
        <v>2530.2900449970607</v>
      </c>
      <c r="Z9" s="26">
        <f t="shared" si="4"/>
        <v>2483.9097758649496</v>
      </c>
      <c r="AA9" s="26">
        <f t="shared" si="4"/>
        <v>2384.7746155201407</v>
      </c>
      <c r="AB9" s="26">
        <f t="shared" si="4"/>
        <v>2360.9972578258585</v>
      </c>
      <c r="AC9" s="26">
        <f t="shared" si="4"/>
        <v>2336.2985469136875</v>
      </c>
      <c r="AD9" s="26">
        <f t="shared" si="4"/>
        <v>2251.1818195979931</v>
      </c>
      <c r="AE9" s="26">
        <f t="shared" si="4"/>
        <v>2200.6176101285378</v>
      </c>
      <c r="AF9" s="26">
        <f t="shared" si="4"/>
        <v>1872.3461506714364</v>
      </c>
      <c r="AG9" s="165">
        <f t="shared" ref="AG9" si="5">SUMIF(AG10:AG12,"&lt;1E+307")</f>
        <v>1625.2899345407347</v>
      </c>
      <c r="AH9" s="141">
        <f t="shared" ref="AH9:AL9" si="6">SUMIF(AH10:AH12,"&lt;1E+307")</f>
        <v>1799.5969864116641</v>
      </c>
      <c r="AI9" s="165">
        <f t="shared" si="6"/>
        <v>1833.0147466797055</v>
      </c>
      <c r="AJ9" s="165">
        <f t="shared" si="6"/>
        <v>1509.8290448638897</v>
      </c>
      <c r="AK9" s="165">
        <f t="shared" si="6"/>
        <v>1420.2584960275253</v>
      </c>
      <c r="AL9" s="165">
        <f t="shared" si="6"/>
        <v>1390.7079754558329</v>
      </c>
    </row>
    <row r="10" spans="2:38" ht="18.75" customHeight="1">
      <c r="B10" s="17" t="s">
        <v>0</v>
      </c>
      <c r="C10" s="27">
        <v>2816.3642440000003</v>
      </c>
      <c r="D10" s="166">
        <v>2666.8888111949982</v>
      </c>
      <c r="E10" s="166">
        <v>2521.280633365001</v>
      </c>
      <c r="F10" s="166">
        <v>2416.3879355999993</v>
      </c>
      <c r="G10" s="166">
        <v>2368.0279374649999</v>
      </c>
      <c r="H10" s="166">
        <v>2251.9177755610403</v>
      </c>
      <c r="I10" s="166">
        <v>2229.1625993511193</v>
      </c>
      <c r="J10" s="166">
        <v>2104.1267559105563</v>
      </c>
      <c r="K10" s="166">
        <v>2072.5021264423963</v>
      </c>
      <c r="L10" s="166">
        <v>2015.3446381468655</v>
      </c>
      <c r="M10" s="166">
        <v>2111.7840509210637</v>
      </c>
      <c r="N10" s="166">
        <v>2184.9244944691895</v>
      </c>
      <c r="O10" s="166">
        <v>2211.2252281162423</v>
      </c>
      <c r="P10" s="166">
        <v>2325.8177745682901</v>
      </c>
      <c r="Q10" s="166">
        <v>2422.635958629312</v>
      </c>
      <c r="R10" s="166">
        <v>2355.4534211872624</v>
      </c>
      <c r="S10" s="166">
        <v>2392.4149687296213</v>
      </c>
      <c r="T10" s="166">
        <v>2477.2399245136771</v>
      </c>
      <c r="U10" s="166">
        <v>2406.7941154736709</v>
      </c>
      <c r="V10" s="166">
        <v>2307.3239998785116</v>
      </c>
      <c r="W10" s="166">
        <v>2376.2411152660648</v>
      </c>
      <c r="X10" s="166">
        <v>2412.0757555221521</v>
      </c>
      <c r="Y10" s="166">
        <v>2519.7503778486598</v>
      </c>
      <c r="Z10" s="166">
        <v>2471.4966297604356</v>
      </c>
      <c r="AA10" s="166">
        <v>2374.5083059871063</v>
      </c>
      <c r="AB10" s="166">
        <v>2350.4262724965579</v>
      </c>
      <c r="AC10" s="166">
        <v>2327.120487198943</v>
      </c>
      <c r="AD10" s="166">
        <v>2240.5201623180765</v>
      </c>
      <c r="AE10" s="166">
        <v>2189.2330947662053</v>
      </c>
      <c r="AF10" s="166">
        <v>1862.0729022945509</v>
      </c>
      <c r="AG10" s="166">
        <v>1618.4890931091518</v>
      </c>
      <c r="AH10" s="166">
        <v>1792.3336200478966</v>
      </c>
      <c r="AI10" s="166">
        <v>1822.044304097074</v>
      </c>
      <c r="AJ10" s="166">
        <v>1501.9802770669701</v>
      </c>
      <c r="AK10" s="166">
        <v>1414.304079358908</v>
      </c>
      <c r="AL10" s="166">
        <v>1384.132811061992</v>
      </c>
    </row>
    <row r="11" spans="2:38" s="87" customFormat="1" ht="18.75" customHeight="1">
      <c r="B11" s="18" t="s">
        <v>2</v>
      </c>
      <c r="C11" s="28">
        <v>12.884962499999999</v>
      </c>
      <c r="D11" s="28">
        <v>13.539512499999999</v>
      </c>
      <c r="E11" s="28">
        <v>13.3858125</v>
      </c>
      <c r="F11" s="28">
        <v>14.1649125</v>
      </c>
      <c r="G11" s="28">
        <v>14.42395</v>
      </c>
      <c r="H11" s="28">
        <v>15.727749999999999</v>
      </c>
      <c r="I11" s="28">
        <v>16.051177199999998</v>
      </c>
      <c r="J11" s="28">
        <v>13.854396100000001</v>
      </c>
      <c r="K11" s="28">
        <v>12.4884112</v>
      </c>
      <c r="L11" s="28">
        <v>10.963034100000002</v>
      </c>
      <c r="M11" s="28">
        <v>9.3952039999999997</v>
      </c>
      <c r="N11" s="28">
        <v>9.4833005999999997</v>
      </c>
      <c r="O11" s="28">
        <v>9.731308799999999</v>
      </c>
      <c r="P11" s="28">
        <v>8.7252203999999995</v>
      </c>
      <c r="Q11" s="28">
        <v>11.974109800000001</v>
      </c>
      <c r="R11" s="28">
        <v>11.669028364499999</v>
      </c>
      <c r="S11" s="28">
        <v>13.143879451499998</v>
      </c>
      <c r="T11" s="28">
        <v>10.690620131399998</v>
      </c>
      <c r="U11" s="28">
        <v>11.25843753675</v>
      </c>
      <c r="V11" s="28">
        <v>10.353167920349998</v>
      </c>
      <c r="W11" s="28">
        <v>9.0412696819999994</v>
      </c>
      <c r="X11" s="28">
        <v>9.3635469674999996</v>
      </c>
      <c r="Y11" s="28">
        <v>9.460801331499999</v>
      </c>
      <c r="Z11" s="28">
        <v>11.390230132499997</v>
      </c>
      <c r="AA11" s="28">
        <v>9.266526678</v>
      </c>
      <c r="AB11" s="28">
        <v>9.5383828904999977</v>
      </c>
      <c r="AC11" s="28">
        <v>8.1357684979999991</v>
      </c>
      <c r="AD11" s="28">
        <v>9.6476389720000011</v>
      </c>
      <c r="AE11" s="28">
        <v>10.473567625500001</v>
      </c>
      <c r="AF11" s="28">
        <v>9.3775886814999989</v>
      </c>
      <c r="AG11" s="167">
        <v>5.9615439064999993</v>
      </c>
      <c r="AH11" s="143">
        <v>6.4389633219999984</v>
      </c>
      <c r="AI11" s="167">
        <v>10.071935268499999</v>
      </c>
      <c r="AJ11" s="167">
        <v>7.1093122244999991</v>
      </c>
      <c r="AK11" s="167">
        <v>5.1103800184999999</v>
      </c>
      <c r="AL11" s="167">
        <v>5.764512139999999</v>
      </c>
    </row>
    <row r="12" spans="2:38" s="87" customFormat="1" ht="18.75" customHeight="1">
      <c r="B12" s="89" t="s">
        <v>1</v>
      </c>
      <c r="C12" s="90">
        <v>2.0240841360540003</v>
      </c>
      <c r="D12" s="90">
        <v>1.8374600548751774</v>
      </c>
      <c r="E12" s="90">
        <v>1.6666380351603736</v>
      </c>
      <c r="F12" s="90">
        <v>1.6818701126263713</v>
      </c>
      <c r="G12" s="90">
        <v>1.675761144496551</v>
      </c>
      <c r="H12" s="90">
        <v>1.3837953702739427</v>
      </c>
      <c r="I12" s="90">
        <v>1.4655090827509485</v>
      </c>
      <c r="J12" s="90">
        <v>1.4314714808597808</v>
      </c>
      <c r="K12" s="90">
        <v>1.3959061641879906</v>
      </c>
      <c r="L12" s="90">
        <v>1.3280815198285389</v>
      </c>
      <c r="M12" s="90">
        <v>1.3334483684097087</v>
      </c>
      <c r="N12" s="90">
        <v>1.3244717169947724</v>
      </c>
      <c r="O12" s="90">
        <v>1.3245478637182178</v>
      </c>
      <c r="P12" s="90">
        <v>1.3824272623295346</v>
      </c>
      <c r="Q12" s="90">
        <v>1.4006056304403376</v>
      </c>
      <c r="R12" s="90">
        <v>1.4311551965062579</v>
      </c>
      <c r="S12" s="90">
        <v>1.4076142216026939</v>
      </c>
      <c r="T12" s="90">
        <v>1.2925436071579384</v>
      </c>
      <c r="U12" s="90">
        <v>1.2384057161336408</v>
      </c>
      <c r="V12" s="90">
        <v>1.1283816026524747</v>
      </c>
      <c r="W12" s="90">
        <v>1.0207820776596228</v>
      </c>
      <c r="X12" s="90">
        <v>1.0615030512640338</v>
      </c>
      <c r="Y12" s="90">
        <v>1.0788658169008458</v>
      </c>
      <c r="Z12" s="90">
        <v>1.0229159720137466</v>
      </c>
      <c r="AA12" s="90">
        <v>0.99978285503450348</v>
      </c>
      <c r="AB12" s="90">
        <v>1.0326024388006536</v>
      </c>
      <c r="AC12" s="90">
        <v>1.0422912167446603</v>
      </c>
      <c r="AD12" s="90">
        <v>1.0140183079164138</v>
      </c>
      <c r="AE12" s="90">
        <v>0.91094773683244501</v>
      </c>
      <c r="AF12" s="90">
        <v>0.89565969538562751</v>
      </c>
      <c r="AG12" s="166">
        <v>0.83929752508285571</v>
      </c>
      <c r="AH12" s="142">
        <v>0.82440304176745116</v>
      </c>
      <c r="AI12" s="166">
        <v>0.89850731413132467</v>
      </c>
      <c r="AJ12" s="166">
        <v>0.73945557241966653</v>
      </c>
      <c r="AK12" s="166">
        <v>0.84403665011730256</v>
      </c>
      <c r="AL12" s="166">
        <v>0.81065225384079276</v>
      </c>
    </row>
    <row r="13" spans="2:38" s="10" customFormat="1" ht="18.75" customHeight="1">
      <c r="B13" s="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165"/>
      <c r="AH13" s="141"/>
      <c r="AI13" s="165"/>
      <c r="AJ13" s="165"/>
      <c r="AK13" s="165"/>
      <c r="AL13" s="165"/>
    </row>
    <row r="14" spans="2:38" s="10" customFormat="1" ht="18.75" customHeight="1">
      <c r="B14" s="6" t="s">
        <v>9</v>
      </c>
      <c r="C14" s="25">
        <f t="shared" ref="C14:AH14" si="7">SUMIF(C15:C19,"&lt;1E+307")</f>
        <v>22042.767622394018</v>
      </c>
      <c r="D14" s="25">
        <f t="shared" si="7"/>
        <v>22464.633029531</v>
      </c>
      <c r="E14" s="25">
        <f t="shared" si="7"/>
        <v>24570.909006262107</v>
      </c>
      <c r="F14" s="25">
        <f t="shared" si="7"/>
        <v>22626.151229405004</v>
      </c>
      <c r="G14" s="25">
        <f t="shared" si="7"/>
        <v>24992.038086204906</v>
      </c>
      <c r="H14" s="25">
        <f t="shared" si="7"/>
        <v>23323.765959391167</v>
      </c>
      <c r="I14" s="25">
        <f t="shared" si="7"/>
        <v>24361.081326564341</v>
      </c>
      <c r="J14" s="25">
        <f t="shared" si="7"/>
        <v>22038.465546126066</v>
      </c>
      <c r="K14" s="25">
        <f t="shared" si="7"/>
        <v>10511.176733111286</v>
      </c>
      <c r="L14" s="25">
        <f t="shared" si="7"/>
        <v>6871.1766303808217</v>
      </c>
      <c r="M14" s="25">
        <f t="shared" si="7"/>
        <v>6492.4376405902076</v>
      </c>
      <c r="N14" s="25">
        <f t="shared" si="7"/>
        <v>8171.2782231791089</v>
      </c>
      <c r="O14" s="25">
        <f t="shared" si="7"/>
        <v>8502.821772784082</v>
      </c>
      <c r="P14" s="25">
        <f t="shared" si="7"/>
        <v>8563.5738631901168</v>
      </c>
      <c r="Q14" s="25">
        <f t="shared" si="7"/>
        <v>9734.0022077255035</v>
      </c>
      <c r="R14" s="25">
        <f t="shared" si="7"/>
        <v>8331.1456617693875</v>
      </c>
      <c r="S14" s="25">
        <f t="shared" si="7"/>
        <v>8118.7741784349528</v>
      </c>
      <c r="T14" s="25">
        <f t="shared" si="7"/>
        <v>10394.272543619954</v>
      </c>
      <c r="U14" s="25">
        <f t="shared" si="7"/>
        <v>9246.9844632448294</v>
      </c>
      <c r="V14" s="25">
        <f t="shared" si="7"/>
        <v>9488.6509526670652</v>
      </c>
      <c r="W14" s="25">
        <f t="shared" si="7"/>
        <v>2352.9076322232786</v>
      </c>
      <c r="X14" s="25">
        <f t="shared" si="7"/>
        <v>2055.933952049947</v>
      </c>
      <c r="Y14" s="25">
        <f t="shared" si="7"/>
        <v>1721.1769338438878</v>
      </c>
      <c r="Z14" s="25">
        <f t="shared" si="7"/>
        <v>1787.4098864331545</v>
      </c>
      <c r="AA14" s="25">
        <f t="shared" si="7"/>
        <v>1681.4319684149832</v>
      </c>
      <c r="AB14" s="25">
        <f t="shared" si="7"/>
        <v>1739.713275567857</v>
      </c>
      <c r="AC14" s="25">
        <f t="shared" si="7"/>
        <v>1724.673542948733</v>
      </c>
      <c r="AD14" s="25">
        <f t="shared" si="7"/>
        <v>1695.1254360775706</v>
      </c>
      <c r="AE14" s="25">
        <f t="shared" si="7"/>
        <v>1646.2257116541973</v>
      </c>
      <c r="AF14" s="25">
        <f t="shared" si="7"/>
        <v>1522.3197669836618</v>
      </c>
      <c r="AG14" s="164">
        <f t="shared" si="7"/>
        <v>1540.0393801886355</v>
      </c>
      <c r="AH14" s="140">
        <f t="shared" si="7"/>
        <v>1486.3387628461271</v>
      </c>
      <c r="AI14" s="164">
        <f t="shared" ref="AI14:AL14" si="8">SUMIF(AI15:AI19,"&lt;1E+307")</f>
        <v>1411.5228453950212</v>
      </c>
      <c r="AJ14" s="164">
        <f t="shared" si="8"/>
        <v>1029.8293882420801</v>
      </c>
      <c r="AK14" s="164">
        <f t="shared" si="8"/>
        <v>956.18894242697718</v>
      </c>
      <c r="AL14" s="164">
        <f t="shared" si="8"/>
        <v>908.29688249479182</v>
      </c>
    </row>
    <row r="15" spans="2:38" ht="18.75" customHeight="1">
      <c r="B15" s="18" t="s">
        <v>24</v>
      </c>
      <c r="C15" s="28">
        <v>1191.6606533914535</v>
      </c>
      <c r="D15" s="28">
        <v>1026.1537192483631</v>
      </c>
      <c r="E15" s="28">
        <v>939.6499614763776</v>
      </c>
      <c r="F15" s="28">
        <v>860.37258332922397</v>
      </c>
      <c r="G15" s="28">
        <v>827.52996902933523</v>
      </c>
      <c r="H15" s="28">
        <v>855.42893337647854</v>
      </c>
      <c r="I15" s="28">
        <v>795.7607732821499</v>
      </c>
      <c r="J15" s="28">
        <v>844.88268587182051</v>
      </c>
      <c r="K15" s="28">
        <v>770.61150389299542</v>
      </c>
      <c r="L15" s="28">
        <v>765.00455733528895</v>
      </c>
      <c r="M15" s="28">
        <v>702.10372602581629</v>
      </c>
      <c r="N15" s="28">
        <v>679.58831581769221</v>
      </c>
      <c r="O15" s="28">
        <v>650.24152858364596</v>
      </c>
      <c r="P15" s="28">
        <v>662.2714006265378</v>
      </c>
      <c r="Q15" s="28">
        <v>649.72384467035397</v>
      </c>
      <c r="R15" s="28">
        <v>622.81772704983382</v>
      </c>
      <c r="S15" s="28">
        <v>639.77178555750413</v>
      </c>
      <c r="T15" s="28">
        <v>671.31671923488193</v>
      </c>
      <c r="U15" s="28">
        <v>706.95274132910458</v>
      </c>
      <c r="V15" s="28">
        <v>635.2531844470243</v>
      </c>
      <c r="W15" s="28">
        <v>710.64818484938291</v>
      </c>
      <c r="X15" s="28">
        <v>708.32629521615161</v>
      </c>
      <c r="Y15" s="28">
        <v>679.08720742358207</v>
      </c>
      <c r="Z15" s="28">
        <v>664.67994368118048</v>
      </c>
      <c r="AA15" s="28">
        <v>676.81564457362413</v>
      </c>
      <c r="AB15" s="28">
        <v>719.4792850498402</v>
      </c>
      <c r="AC15" s="28">
        <v>754.15404857023213</v>
      </c>
      <c r="AD15" s="28">
        <v>751.75458307219947</v>
      </c>
      <c r="AE15" s="28">
        <v>713.99738792937285</v>
      </c>
      <c r="AF15" s="28">
        <v>702.17730104313591</v>
      </c>
      <c r="AG15" s="167">
        <v>719.21771016170464</v>
      </c>
      <c r="AH15" s="143">
        <v>726.48527784222301</v>
      </c>
      <c r="AI15" s="167">
        <v>672.88226471272822</v>
      </c>
      <c r="AJ15" s="167">
        <v>606.94129056428608</v>
      </c>
      <c r="AK15" s="167">
        <v>594.54423931279439</v>
      </c>
      <c r="AL15" s="167">
        <v>573.8776324641542</v>
      </c>
    </row>
    <row r="16" spans="2:38" ht="18.75" customHeight="1">
      <c r="B16" s="17" t="s">
        <v>11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166">
        <v>0</v>
      </c>
      <c r="AH16" s="142">
        <v>0</v>
      </c>
      <c r="AI16" s="166">
        <v>0</v>
      </c>
      <c r="AJ16" s="166">
        <v>0</v>
      </c>
      <c r="AK16" s="166">
        <v>0</v>
      </c>
      <c r="AL16" s="166">
        <v>0</v>
      </c>
    </row>
    <row r="17" spans="2:38" ht="18.75" customHeight="1">
      <c r="B17" s="18" t="s">
        <v>12</v>
      </c>
      <c r="C17" s="28">
        <v>19075.134208965999</v>
      </c>
      <c r="D17" s="28">
        <v>19733.923586215999</v>
      </c>
      <c r="E17" s="28">
        <v>21999.096972715997</v>
      </c>
      <c r="F17" s="28">
        <v>20205.239548215999</v>
      </c>
      <c r="G17" s="28">
        <v>22672.562036715997</v>
      </c>
      <c r="H17" s="28">
        <v>21054.617813215995</v>
      </c>
      <c r="I17" s="28">
        <v>22221.687615513223</v>
      </c>
      <c r="J17" s="28">
        <v>19918.109322588261</v>
      </c>
      <c r="K17" s="28">
        <v>8536.6289877143445</v>
      </c>
      <c r="L17" s="28">
        <v>4973.1405361962488</v>
      </c>
      <c r="M17" s="28">
        <v>4724.156342679581</v>
      </c>
      <c r="N17" s="28">
        <v>6493.7588234664536</v>
      </c>
      <c r="O17" s="28">
        <v>6983.1364588317938</v>
      </c>
      <c r="P17" s="28">
        <v>7155.3079468794003</v>
      </c>
      <c r="Q17" s="28">
        <v>8462.3489716071381</v>
      </c>
      <c r="R17" s="28">
        <v>7214.5553105390127</v>
      </c>
      <c r="S17" s="28">
        <v>6971.9659908460571</v>
      </c>
      <c r="T17" s="28">
        <v>9246.3687724408246</v>
      </c>
      <c r="U17" s="28">
        <v>8109.8216909770144</v>
      </c>
      <c r="V17" s="28">
        <v>8448.4501377893048</v>
      </c>
      <c r="W17" s="28">
        <v>1247.1364446570324</v>
      </c>
      <c r="X17" s="28">
        <v>962.68798434035068</v>
      </c>
      <c r="Y17" s="28">
        <v>684.95355158068492</v>
      </c>
      <c r="Z17" s="28">
        <v>793.15175772541693</v>
      </c>
      <c r="AA17" s="28">
        <v>692.89483871691436</v>
      </c>
      <c r="AB17" s="28">
        <v>693.28098598987071</v>
      </c>
      <c r="AC17" s="28">
        <v>632.17095782451474</v>
      </c>
      <c r="AD17" s="28">
        <v>623.10058859856008</v>
      </c>
      <c r="AE17" s="28">
        <v>578.0984592177532</v>
      </c>
      <c r="AF17" s="28">
        <v>500.56078729905005</v>
      </c>
      <c r="AG17" s="167">
        <v>504.35900064531944</v>
      </c>
      <c r="AH17" s="143">
        <v>410.47723060066039</v>
      </c>
      <c r="AI17" s="167">
        <v>348.9870478387798</v>
      </c>
      <c r="AJ17" s="167">
        <v>200.8987533299894</v>
      </c>
      <c r="AK17" s="167">
        <v>147.70303939657305</v>
      </c>
      <c r="AL17" s="167">
        <v>141.18923155291765</v>
      </c>
    </row>
    <row r="18" spans="2:38" ht="18.75" customHeight="1">
      <c r="B18" s="17" t="s">
        <v>13</v>
      </c>
      <c r="C18" s="27">
        <v>23.6047425</v>
      </c>
      <c r="D18" s="27">
        <v>22.859827499999998</v>
      </c>
      <c r="E18" s="27">
        <v>21.155745</v>
      </c>
      <c r="F18" s="27">
        <v>20.246662499999999</v>
      </c>
      <c r="G18" s="27">
        <v>22.39038</v>
      </c>
      <c r="H18" s="27">
        <v>14.919587313525</v>
      </c>
      <c r="I18" s="27">
        <v>14.248587122909999</v>
      </c>
      <c r="J18" s="27">
        <v>15.877556454375</v>
      </c>
      <c r="K18" s="27">
        <v>14.196771829259998</v>
      </c>
      <c r="L18" s="27">
        <v>13.046266093590003</v>
      </c>
      <c r="M18" s="27">
        <v>16.557610155075</v>
      </c>
      <c r="N18" s="27">
        <v>14.004390435930002</v>
      </c>
      <c r="O18" s="27">
        <v>11.9097031897935</v>
      </c>
      <c r="P18" s="27">
        <v>14.8116411045</v>
      </c>
      <c r="Q18" s="27">
        <v>17.260628985000004</v>
      </c>
      <c r="R18" s="27">
        <v>15.841584274500001</v>
      </c>
      <c r="S18" s="27">
        <v>16.406257351499999</v>
      </c>
      <c r="T18" s="27">
        <v>16.433846792999997</v>
      </c>
      <c r="U18" s="27">
        <v>13.8833967195</v>
      </c>
      <c r="V18" s="27">
        <v>10.743747898500001</v>
      </c>
      <c r="W18" s="27">
        <v>13.9423119435</v>
      </c>
      <c r="X18" s="27">
        <v>13.343685290999998</v>
      </c>
      <c r="Y18" s="27">
        <v>11.302310605500001</v>
      </c>
      <c r="Z18" s="27">
        <v>11.437830121499999</v>
      </c>
      <c r="AA18" s="27">
        <v>12.702090478500001</v>
      </c>
      <c r="AB18" s="27">
        <v>13.594796217000001</v>
      </c>
      <c r="AC18" s="27">
        <v>13.174000173</v>
      </c>
      <c r="AD18" s="27">
        <v>15.5967168015</v>
      </c>
      <c r="AE18" s="27">
        <v>13.968620878499999</v>
      </c>
      <c r="AF18" s="27">
        <v>12.2534610075</v>
      </c>
      <c r="AG18" s="166">
        <v>11.001060301500001</v>
      </c>
      <c r="AH18" s="142">
        <v>12.1278101445</v>
      </c>
      <c r="AI18" s="166">
        <v>10.927614465</v>
      </c>
      <c r="AJ18" s="166">
        <v>12.472586698499999</v>
      </c>
      <c r="AK18" s="166">
        <v>12.921157259999998</v>
      </c>
      <c r="AL18" s="166">
        <v>11.530677694500001</v>
      </c>
    </row>
    <row r="19" spans="2:38" ht="18.75" customHeight="1">
      <c r="B19" s="18" t="s">
        <v>77</v>
      </c>
      <c r="C19" s="28">
        <v>1752.3680175365662</v>
      </c>
      <c r="D19" s="28">
        <v>1681.6958965666381</v>
      </c>
      <c r="E19" s="28">
        <v>1611.0063270697319</v>
      </c>
      <c r="F19" s="28">
        <v>1540.2924353597809</v>
      </c>
      <c r="G19" s="28">
        <v>1469.5557004595721</v>
      </c>
      <c r="H19" s="28">
        <v>1398.7996254851678</v>
      </c>
      <c r="I19" s="28">
        <v>1329.384350646058</v>
      </c>
      <c r="J19" s="28">
        <v>1259.5959812116089</v>
      </c>
      <c r="K19" s="28">
        <v>1189.7394696746869</v>
      </c>
      <c r="L19" s="28">
        <v>1119.9852707556938</v>
      </c>
      <c r="M19" s="28">
        <v>1049.6199617297352</v>
      </c>
      <c r="N19" s="28">
        <v>983.92669345903323</v>
      </c>
      <c r="O19" s="28">
        <v>857.53408217884862</v>
      </c>
      <c r="P19" s="28">
        <v>731.18287457967836</v>
      </c>
      <c r="Q19" s="28">
        <v>604.66876246301217</v>
      </c>
      <c r="R19" s="28">
        <v>477.93103990604232</v>
      </c>
      <c r="S19" s="28">
        <v>490.6301446798916</v>
      </c>
      <c r="T19" s="28">
        <v>460.15320515124768</v>
      </c>
      <c r="U19" s="28">
        <v>416.32663421921006</v>
      </c>
      <c r="V19" s="28">
        <v>394.20388253223609</v>
      </c>
      <c r="W19" s="28">
        <v>381.18069077336349</v>
      </c>
      <c r="X19" s="28">
        <v>371.57598720244459</v>
      </c>
      <c r="Y19" s="28">
        <v>345.83386423412094</v>
      </c>
      <c r="Z19" s="28">
        <v>318.14035490505705</v>
      </c>
      <c r="AA19" s="28">
        <v>299.01939464594477</v>
      </c>
      <c r="AB19" s="28">
        <v>313.35820831114597</v>
      </c>
      <c r="AC19" s="28">
        <v>325.17453638098607</v>
      </c>
      <c r="AD19" s="28">
        <v>304.673547605311</v>
      </c>
      <c r="AE19" s="28">
        <v>340.16124362857124</v>
      </c>
      <c r="AF19" s="28">
        <v>307.3282176339759</v>
      </c>
      <c r="AG19" s="167">
        <v>305.46160908011143</v>
      </c>
      <c r="AH19" s="143">
        <v>337.24844425874358</v>
      </c>
      <c r="AI19" s="167">
        <v>378.72591837851303</v>
      </c>
      <c r="AJ19" s="167">
        <v>209.51675764930471</v>
      </c>
      <c r="AK19" s="167">
        <v>201.02050645760968</v>
      </c>
      <c r="AL19" s="167">
        <v>181.69934078321995</v>
      </c>
    </row>
    <row r="20" spans="2:38" s="149" customFormat="1" ht="18.75" customHeight="1">
      <c r="B20" s="8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</row>
    <row r="21" spans="2:38" s="10" customFormat="1" ht="18.75" customHeight="1">
      <c r="B21" s="151" t="s">
        <v>10</v>
      </c>
      <c r="C21" s="165">
        <f>SUMIF(C22:C24,"&lt;1E+307")</f>
        <v>868.13426246743541</v>
      </c>
      <c r="D21" s="165">
        <f t="shared" ref="D21:AD21" si="9">SUMIF(D22:D24,"&lt;1E+307")</f>
        <v>755.64509367151459</v>
      </c>
      <c r="E21" s="165">
        <f t="shared" si="9"/>
        <v>628.8696715248866</v>
      </c>
      <c r="F21" s="165">
        <f t="shared" si="9"/>
        <v>622.7349430491231</v>
      </c>
      <c r="G21" s="165">
        <f t="shared" si="9"/>
        <v>579.95972646627013</v>
      </c>
      <c r="H21" s="165">
        <f t="shared" si="9"/>
        <v>577.38820079148468</v>
      </c>
      <c r="I21" s="165">
        <f t="shared" si="9"/>
        <v>602.38053341926206</v>
      </c>
      <c r="J21" s="165">
        <f t="shared" si="9"/>
        <v>581.32033470481019</v>
      </c>
      <c r="K21" s="165">
        <f t="shared" si="9"/>
        <v>503.46166634259487</v>
      </c>
      <c r="L21" s="165">
        <f t="shared" si="9"/>
        <v>476.43953305589929</v>
      </c>
      <c r="M21" s="165">
        <f t="shared" si="9"/>
        <v>472.42377813254478</v>
      </c>
      <c r="N21" s="165">
        <f t="shared" si="9"/>
        <v>520.54350320528738</v>
      </c>
      <c r="O21" s="165">
        <f t="shared" si="9"/>
        <v>490.22222629450908</v>
      </c>
      <c r="P21" s="165">
        <f t="shared" si="9"/>
        <v>424.13314240316748</v>
      </c>
      <c r="Q21" s="165">
        <f t="shared" si="9"/>
        <v>394.40911867648794</v>
      </c>
      <c r="R21" s="165">
        <f t="shared" si="9"/>
        <v>389.29025054012249</v>
      </c>
      <c r="S21" s="165">
        <f t="shared" si="9"/>
        <v>432.35524540176863</v>
      </c>
      <c r="T21" s="165">
        <f t="shared" si="9"/>
        <v>358.73492764278706</v>
      </c>
      <c r="U21" s="165">
        <f t="shared" si="9"/>
        <v>438.63740173745487</v>
      </c>
      <c r="V21" s="165">
        <f t="shared" si="9"/>
        <v>404.53828223960591</v>
      </c>
      <c r="W21" s="165">
        <f t="shared" si="9"/>
        <v>464.29407048931205</v>
      </c>
      <c r="X21" s="165">
        <f t="shared" si="9"/>
        <v>405.4165738735864</v>
      </c>
      <c r="Y21" s="165">
        <f t="shared" si="9"/>
        <v>424.00332863778146</v>
      </c>
      <c r="Z21" s="165">
        <f t="shared" si="9"/>
        <v>432.02634788139244</v>
      </c>
      <c r="AA21" s="165">
        <f t="shared" si="9"/>
        <v>367.60631986963779</v>
      </c>
      <c r="AB21" s="165">
        <f t="shared" si="9"/>
        <v>397.4997313040588</v>
      </c>
      <c r="AC21" s="165">
        <f t="shared" si="9"/>
        <v>362.55125150367036</v>
      </c>
      <c r="AD21" s="165">
        <f t="shared" si="9"/>
        <v>362.35007676572718</v>
      </c>
      <c r="AE21" s="165">
        <f t="shared" ref="AE21:AF21" si="10">SUMIF(AE22:AE24,"&lt;1E+307")</f>
        <v>353.4515630441033</v>
      </c>
      <c r="AF21" s="165">
        <f t="shared" si="10"/>
        <v>353.97772001131051</v>
      </c>
      <c r="AG21" s="165">
        <f t="shared" ref="AG21" si="11">SUMIF(AG22:AG24,"&lt;1E+307")</f>
        <v>343.7027819055337</v>
      </c>
      <c r="AH21" s="165">
        <f t="shared" ref="AH21:AL21" si="12">SUMIF(AH22:AH24,"&lt;1E+307")</f>
        <v>350.49073985004321</v>
      </c>
      <c r="AI21" s="165">
        <f t="shared" si="12"/>
        <v>349.20075317133529</v>
      </c>
      <c r="AJ21" s="165">
        <f t="shared" si="12"/>
        <v>312.3304480569081</v>
      </c>
      <c r="AK21" s="165">
        <f t="shared" si="12"/>
        <v>298.47722232197168</v>
      </c>
      <c r="AL21" s="165">
        <f t="shared" si="12"/>
        <v>319.27389106954286</v>
      </c>
    </row>
    <row r="22" spans="2:38" s="149" customFormat="1" ht="18.75" customHeight="1">
      <c r="B22" s="89" t="s">
        <v>69</v>
      </c>
      <c r="C22" s="166">
        <v>130.28323904844808</v>
      </c>
      <c r="D22" s="166">
        <v>145.66848718558276</v>
      </c>
      <c r="E22" s="166">
        <v>123.42127888701641</v>
      </c>
      <c r="F22" s="166">
        <v>120.53880607804678</v>
      </c>
      <c r="G22" s="166">
        <v>111.04331018219801</v>
      </c>
      <c r="H22" s="166">
        <v>146.90435872885223</v>
      </c>
      <c r="I22" s="166">
        <v>156.42706058078369</v>
      </c>
      <c r="J22" s="166">
        <v>153.39011673559631</v>
      </c>
      <c r="K22" s="166">
        <v>117.70759014190493</v>
      </c>
      <c r="L22" s="166">
        <v>111.58292194213587</v>
      </c>
      <c r="M22" s="166">
        <v>110.49535389231754</v>
      </c>
      <c r="N22" s="166">
        <v>123.36935730533828</v>
      </c>
      <c r="O22" s="166">
        <v>118.82555412858393</v>
      </c>
      <c r="P22" s="166">
        <v>96.548834179946894</v>
      </c>
      <c r="Q22" s="166">
        <v>95.226571768055138</v>
      </c>
      <c r="R22" s="166">
        <v>96.848180680340676</v>
      </c>
      <c r="S22" s="166">
        <v>117.04521851867524</v>
      </c>
      <c r="T22" s="166">
        <v>92.835718084525269</v>
      </c>
      <c r="U22" s="166">
        <v>112.52487122648574</v>
      </c>
      <c r="V22" s="166">
        <v>106.58086377088144</v>
      </c>
      <c r="W22" s="166">
        <v>109.51174028308873</v>
      </c>
      <c r="X22" s="166">
        <v>96.462478206985395</v>
      </c>
      <c r="Y22" s="166">
        <v>99.211974295965348</v>
      </c>
      <c r="Z22" s="166">
        <v>102.05105021028669</v>
      </c>
      <c r="AA22" s="166">
        <v>91.093489751527827</v>
      </c>
      <c r="AB22" s="166">
        <v>100.24015303056395</v>
      </c>
      <c r="AC22" s="166">
        <v>84.395536894438393</v>
      </c>
      <c r="AD22" s="166">
        <v>86.236040711444062</v>
      </c>
      <c r="AE22" s="166">
        <v>77.587290854640997</v>
      </c>
      <c r="AF22" s="166">
        <v>75.464922847920391</v>
      </c>
      <c r="AG22" s="166">
        <v>73.88959183139022</v>
      </c>
      <c r="AH22" s="166">
        <v>76.288996085765973</v>
      </c>
      <c r="AI22" s="166">
        <v>72.881475309314581</v>
      </c>
      <c r="AJ22" s="166">
        <v>71.496954073743851</v>
      </c>
      <c r="AK22" s="166">
        <v>70.041618368504658</v>
      </c>
      <c r="AL22" s="166">
        <v>74.846861249680472</v>
      </c>
    </row>
    <row r="23" spans="2:38" s="149" customFormat="1" ht="18.75" customHeight="1">
      <c r="B23" s="18" t="s">
        <v>17</v>
      </c>
      <c r="C23" s="167">
        <v>683.70636787915146</v>
      </c>
      <c r="D23" s="167">
        <v>568.73535534433654</v>
      </c>
      <c r="E23" s="167">
        <v>470.85191550819093</v>
      </c>
      <c r="F23" s="167">
        <v>472.71239457454465</v>
      </c>
      <c r="G23" s="167">
        <v>438.70086693298731</v>
      </c>
      <c r="H23" s="167">
        <v>406.47117539386187</v>
      </c>
      <c r="I23" s="167">
        <v>427.04524303159616</v>
      </c>
      <c r="J23" s="167">
        <v>407.9277767886183</v>
      </c>
      <c r="K23" s="167">
        <v>366.04682005720241</v>
      </c>
      <c r="L23" s="167">
        <v>348.87648392310797</v>
      </c>
      <c r="M23" s="167">
        <v>347.57116838830905</v>
      </c>
      <c r="N23" s="167">
        <v>386.27404970564709</v>
      </c>
      <c r="O23" s="167">
        <v>361.73147788933238</v>
      </c>
      <c r="P23" s="167">
        <v>317.82814264776437</v>
      </c>
      <c r="Q23" s="167">
        <v>291.30347222950309</v>
      </c>
      <c r="R23" s="167">
        <v>285.61985700663416</v>
      </c>
      <c r="S23" s="167">
        <v>309.32742446792145</v>
      </c>
      <c r="T23" s="167">
        <v>260.95465512503233</v>
      </c>
      <c r="U23" s="167">
        <v>321.07318837964556</v>
      </c>
      <c r="V23" s="167">
        <v>292.76557005927395</v>
      </c>
      <c r="W23" s="167">
        <v>350.29442908069967</v>
      </c>
      <c r="X23" s="167">
        <v>304.48372116122226</v>
      </c>
      <c r="Y23" s="167">
        <v>321.95782414294894</v>
      </c>
      <c r="Z23" s="167">
        <v>326.84377232727513</v>
      </c>
      <c r="AA23" s="167">
        <v>273.05970597701901</v>
      </c>
      <c r="AB23" s="167">
        <v>293.57978391139346</v>
      </c>
      <c r="AC23" s="167">
        <v>274.4004916512115</v>
      </c>
      <c r="AD23" s="167">
        <v>273.64298505352633</v>
      </c>
      <c r="AE23" s="167">
        <v>273.77276046551106</v>
      </c>
      <c r="AF23" s="167">
        <v>275.05826858320717</v>
      </c>
      <c r="AG23" s="167">
        <v>266.62885447827961</v>
      </c>
      <c r="AH23" s="167">
        <v>270.23317892078904</v>
      </c>
      <c r="AI23" s="167">
        <v>272.93434377692125</v>
      </c>
      <c r="AJ23" s="167">
        <v>237.29958627342285</v>
      </c>
      <c r="AK23" s="167">
        <v>226.92620946713893</v>
      </c>
      <c r="AL23" s="167">
        <v>242.4764239657448</v>
      </c>
    </row>
    <row r="24" spans="2:38" s="149" customFormat="1" ht="18.75" customHeight="1">
      <c r="B24" s="89" t="s">
        <v>70</v>
      </c>
      <c r="C24" s="166">
        <v>54.144655539835895</v>
      </c>
      <c r="D24" s="166">
        <v>41.241251141595271</v>
      </c>
      <c r="E24" s="166">
        <v>34.596477129679222</v>
      </c>
      <c r="F24" s="166">
        <v>29.483742396531618</v>
      </c>
      <c r="G24" s="166">
        <v>30.215549351084878</v>
      </c>
      <c r="H24" s="166">
        <v>24.01266666877066</v>
      </c>
      <c r="I24" s="166">
        <v>18.908229806882172</v>
      </c>
      <c r="J24" s="166">
        <v>20.002441180595643</v>
      </c>
      <c r="K24" s="166">
        <v>19.707256143487548</v>
      </c>
      <c r="L24" s="166">
        <v>15.980127190655407</v>
      </c>
      <c r="M24" s="166">
        <v>14.357255851918204</v>
      </c>
      <c r="N24" s="166">
        <v>10.900096194302</v>
      </c>
      <c r="O24" s="166">
        <v>9.6651942765927927</v>
      </c>
      <c r="P24" s="166">
        <v>9.7561655754562278</v>
      </c>
      <c r="Q24" s="166">
        <v>7.8790746789297437</v>
      </c>
      <c r="R24" s="166">
        <v>6.8222128531476196</v>
      </c>
      <c r="S24" s="166">
        <v>5.9826024151719119</v>
      </c>
      <c r="T24" s="166">
        <v>4.9445544332294054</v>
      </c>
      <c r="U24" s="166">
        <v>5.0393421313235658</v>
      </c>
      <c r="V24" s="166">
        <v>5.1918484094505057</v>
      </c>
      <c r="W24" s="166">
        <v>4.4879011255236207</v>
      </c>
      <c r="X24" s="166">
        <v>4.4703745053787252</v>
      </c>
      <c r="Y24" s="166">
        <v>2.8335301988671509</v>
      </c>
      <c r="Z24" s="166">
        <v>3.1315253438306216</v>
      </c>
      <c r="AA24" s="166">
        <v>3.4531241410909241</v>
      </c>
      <c r="AB24" s="166">
        <v>3.6797943621013931</v>
      </c>
      <c r="AC24" s="166">
        <v>3.7552229580204286</v>
      </c>
      <c r="AD24" s="166">
        <v>2.4710510007567996</v>
      </c>
      <c r="AE24" s="166">
        <v>2.0915117239512577</v>
      </c>
      <c r="AF24" s="166">
        <v>3.4545285801829539</v>
      </c>
      <c r="AG24" s="166">
        <v>3.1843355958638901</v>
      </c>
      <c r="AH24" s="166">
        <v>3.9685648434882097</v>
      </c>
      <c r="AI24" s="166">
        <v>3.3849340850994873</v>
      </c>
      <c r="AJ24" s="166">
        <v>3.5339077097414369</v>
      </c>
      <c r="AK24" s="166">
        <v>1.5093944863281354</v>
      </c>
      <c r="AL24" s="166">
        <v>1.9506058541175832</v>
      </c>
    </row>
    <row r="25" spans="2:38" s="149" customFormat="1" ht="18.75" customHeight="1">
      <c r="B25" s="1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</row>
    <row r="26" spans="2:38" s="10" customFormat="1" ht="18.75" customHeight="1">
      <c r="B26" s="152" t="s">
        <v>14</v>
      </c>
      <c r="C26" s="164">
        <f>SUMIF(C27:C30,"&lt;1E+307")</f>
        <v>1169.6388628669858</v>
      </c>
      <c r="D26" s="164">
        <f t="shared" ref="D26:AD26" si="13">SUMIF(D27:D30,"&lt;1E+307")</f>
        <v>1277.7390363484712</v>
      </c>
      <c r="E26" s="164">
        <f t="shared" si="13"/>
        <v>1390.5447350980633</v>
      </c>
      <c r="F26" s="164">
        <f t="shared" si="13"/>
        <v>1497.0277572895495</v>
      </c>
      <c r="G26" s="164">
        <f t="shared" si="13"/>
        <v>1507.0029756166086</v>
      </c>
      <c r="H26" s="164">
        <f t="shared" si="13"/>
        <v>1596.4334430794968</v>
      </c>
      <c r="I26" s="164">
        <f t="shared" si="13"/>
        <v>1611.8792244373319</v>
      </c>
      <c r="J26" s="164">
        <f t="shared" si="13"/>
        <v>1599.8645257735689</v>
      </c>
      <c r="K26" s="164">
        <f t="shared" si="13"/>
        <v>1586.8534456831981</v>
      </c>
      <c r="L26" s="164">
        <f t="shared" si="13"/>
        <v>1571.3245013269602</v>
      </c>
      <c r="M26" s="164">
        <f t="shared" si="13"/>
        <v>1441.988391030347</v>
      </c>
      <c r="N26" s="164">
        <f t="shared" si="13"/>
        <v>1385.7831904660818</v>
      </c>
      <c r="O26" s="164">
        <f t="shared" si="13"/>
        <v>959.06764342619022</v>
      </c>
      <c r="P26" s="164">
        <f t="shared" si="13"/>
        <v>886.2155020179963</v>
      </c>
      <c r="Q26" s="164">
        <f t="shared" si="13"/>
        <v>857.63428994255867</v>
      </c>
      <c r="R26" s="164">
        <f t="shared" si="13"/>
        <v>793.84187402803559</v>
      </c>
      <c r="S26" s="164">
        <f t="shared" si="13"/>
        <v>793.89263724797536</v>
      </c>
      <c r="T26" s="164">
        <f t="shared" si="13"/>
        <v>784.21263547788953</v>
      </c>
      <c r="U26" s="164">
        <f t="shared" si="13"/>
        <v>812.37763263447641</v>
      </c>
      <c r="V26" s="164">
        <f t="shared" si="13"/>
        <v>850.38632150250521</v>
      </c>
      <c r="W26" s="164">
        <f t="shared" si="13"/>
        <v>915.41497925304236</v>
      </c>
      <c r="X26" s="164">
        <f t="shared" si="13"/>
        <v>982.12143152807971</v>
      </c>
      <c r="Y26" s="164">
        <f t="shared" si="13"/>
        <v>1054.6683974133771</v>
      </c>
      <c r="Z26" s="164">
        <f t="shared" si="13"/>
        <v>1120.4956305473718</v>
      </c>
      <c r="AA26" s="164">
        <f t="shared" si="13"/>
        <v>1158.543277454505</v>
      </c>
      <c r="AB26" s="164">
        <f t="shared" si="13"/>
        <v>1231.6862976272848</v>
      </c>
      <c r="AC26" s="164">
        <f t="shared" si="13"/>
        <v>1304.7073876661245</v>
      </c>
      <c r="AD26" s="164">
        <f t="shared" si="13"/>
        <v>1398.7991406241599</v>
      </c>
      <c r="AE26" s="164">
        <f t="shared" ref="AE26:AF26" si="14">SUMIF(AE27:AE30,"&lt;1E+307")</f>
        <v>1406.9243142487305</v>
      </c>
      <c r="AF26" s="164">
        <f t="shared" si="14"/>
        <v>1443.6737493735266</v>
      </c>
      <c r="AG26" s="164">
        <f t="shared" ref="AG26" si="15">SUMIF(AG27:AG30,"&lt;1E+307")</f>
        <v>1358.0760699013072</v>
      </c>
      <c r="AH26" s="164">
        <f t="shared" ref="AH26:AL26" si="16">SUMIF(AH27:AH30,"&lt;1E+307")</f>
        <v>1371.4180660615536</v>
      </c>
      <c r="AI26" s="164">
        <f t="shared" si="16"/>
        <v>1376.524328303226</v>
      </c>
      <c r="AJ26" s="164">
        <f t="shared" si="16"/>
        <v>1334.026930363015</v>
      </c>
      <c r="AK26" s="164">
        <f t="shared" si="16"/>
        <v>1328.5791938752634</v>
      </c>
      <c r="AL26" s="164">
        <f t="shared" si="16"/>
        <v>1391.2019956208801</v>
      </c>
    </row>
    <row r="27" spans="2:38" s="149" customFormat="1" ht="18.75" customHeight="1">
      <c r="B27" s="18" t="s">
        <v>4</v>
      </c>
      <c r="C27" s="167">
        <v>20.683146419809809</v>
      </c>
      <c r="D27" s="167">
        <v>19.930721151868568</v>
      </c>
      <c r="E27" s="167">
        <v>20.271808081170008</v>
      </c>
      <c r="F27" s="167">
        <v>19.375159922080798</v>
      </c>
      <c r="G27" s="167">
        <v>19.212769128521707</v>
      </c>
      <c r="H27" s="167">
        <v>20.16100949480127</v>
      </c>
      <c r="I27" s="167">
        <v>19.408416587153074</v>
      </c>
      <c r="J27" s="167">
        <v>20.377855682624201</v>
      </c>
      <c r="K27" s="167">
        <v>20.444317943672811</v>
      </c>
      <c r="L27" s="167">
        <v>20.809922532633408</v>
      </c>
      <c r="M27" s="167">
        <v>21.88916837465273</v>
      </c>
      <c r="N27" s="167">
        <v>21.148735089369321</v>
      </c>
      <c r="O27" s="167">
        <v>20.194540359393418</v>
      </c>
      <c r="P27" s="167">
        <v>20.065471156612947</v>
      </c>
      <c r="Q27" s="167">
        <v>19.906673188506826</v>
      </c>
      <c r="R27" s="167">
        <v>20.133184542219233</v>
      </c>
      <c r="S27" s="167">
        <v>20.60517987934335</v>
      </c>
      <c r="T27" s="167">
        <v>21.210044779656005</v>
      </c>
      <c r="U27" s="167">
        <v>21.4265714086964</v>
      </c>
      <c r="V27" s="167">
        <v>20.125964290873842</v>
      </c>
      <c r="W27" s="167">
        <v>20.032418839541617</v>
      </c>
      <c r="X27" s="167">
        <v>20.233187563855779</v>
      </c>
      <c r="Y27" s="167">
        <v>19.24213568319075</v>
      </c>
      <c r="Z27" s="167">
        <v>17.383912417028842</v>
      </c>
      <c r="AA27" s="167">
        <v>17.569855459165929</v>
      </c>
      <c r="AB27" s="167">
        <v>18.333096045552221</v>
      </c>
      <c r="AC27" s="167">
        <v>18.412801499414456</v>
      </c>
      <c r="AD27" s="167">
        <v>17.859472552324835</v>
      </c>
      <c r="AE27" s="167">
        <v>17.7943199356029</v>
      </c>
      <c r="AF27" s="167">
        <v>18.331165299099229</v>
      </c>
      <c r="AG27" s="167">
        <v>8.1973109364299894</v>
      </c>
      <c r="AH27" s="167">
        <v>6.3858293002246107</v>
      </c>
      <c r="AI27" s="167">
        <v>9.2623172736953308</v>
      </c>
      <c r="AJ27" s="167">
        <v>9.6693586237864277</v>
      </c>
      <c r="AK27" s="167">
        <v>9.6975767758217337</v>
      </c>
      <c r="AL27" s="167">
        <v>9.900739214281737</v>
      </c>
    </row>
    <row r="28" spans="2:38" s="149" customFormat="1" ht="18.75" customHeight="1">
      <c r="B28" s="89" t="s">
        <v>5</v>
      </c>
      <c r="C28" s="166">
        <v>1123.4424169538643</v>
      </c>
      <c r="D28" s="166">
        <v>1234.5151217981468</v>
      </c>
      <c r="E28" s="166">
        <v>1347.5571974654144</v>
      </c>
      <c r="F28" s="166">
        <v>1455.6139894753276</v>
      </c>
      <c r="G28" s="166">
        <v>1466.4453798607672</v>
      </c>
      <c r="H28" s="166">
        <v>1556.6521223764739</v>
      </c>
      <c r="I28" s="166">
        <v>1574.061055511532</v>
      </c>
      <c r="J28" s="166">
        <v>1562.6545564906285</v>
      </c>
      <c r="K28" s="166">
        <v>1548.763849829239</v>
      </c>
      <c r="L28" s="166">
        <v>1534.1267971242494</v>
      </c>
      <c r="M28" s="166">
        <v>1404.1532712832354</v>
      </c>
      <c r="N28" s="166">
        <v>1348.9456414704696</v>
      </c>
      <c r="O28" s="166">
        <v>923.45766379633858</v>
      </c>
      <c r="P28" s="166">
        <v>849.45007782727691</v>
      </c>
      <c r="Q28" s="166">
        <v>821.55119908579843</v>
      </c>
      <c r="R28" s="166">
        <v>757.88424620052183</v>
      </c>
      <c r="S28" s="166">
        <v>757.74292870821353</v>
      </c>
      <c r="T28" s="166">
        <v>747.88820024576899</v>
      </c>
      <c r="U28" s="166">
        <v>774.8053359315968</v>
      </c>
      <c r="V28" s="166">
        <v>816.30818556344195</v>
      </c>
      <c r="W28" s="166">
        <v>881.32965759138301</v>
      </c>
      <c r="X28" s="166">
        <v>948.30951506576559</v>
      </c>
      <c r="Y28" s="166">
        <v>1021.4920670457166</v>
      </c>
      <c r="Z28" s="166">
        <v>1088.9980333691822</v>
      </c>
      <c r="AA28" s="166">
        <v>1126.6059255187488</v>
      </c>
      <c r="AB28" s="166">
        <v>1198.7657528992067</v>
      </c>
      <c r="AC28" s="166">
        <v>1271.7238078131224</v>
      </c>
      <c r="AD28" s="166">
        <v>1366.9387470308047</v>
      </c>
      <c r="AE28" s="166">
        <v>1374.7375435011882</v>
      </c>
      <c r="AF28" s="166">
        <v>1410.6345233969444</v>
      </c>
      <c r="AG28" s="166">
        <v>1336.3756974651212</v>
      </c>
      <c r="AH28" s="166">
        <v>1351.8335635115038</v>
      </c>
      <c r="AI28" s="166">
        <v>1355.4851090981424</v>
      </c>
      <c r="AJ28" s="166">
        <v>1312.55338012224</v>
      </c>
      <c r="AK28" s="166">
        <v>1306.8211323645141</v>
      </c>
      <c r="AL28" s="166">
        <v>1369.2948906361578</v>
      </c>
    </row>
    <row r="29" spans="2:38" s="149" customFormat="1" ht="18.75" customHeight="1">
      <c r="B29" s="18" t="s">
        <v>6</v>
      </c>
      <c r="C29" s="167">
        <v>6.8324905217311489</v>
      </c>
      <c r="D29" s="167">
        <v>6.1424294386558929</v>
      </c>
      <c r="E29" s="167">
        <v>5.9804206244433979</v>
      </c>
      <c r="F29" s="167">
        <v>5.8757131443860384</v>
      </c>
      <c r="G29" s="167">
        <v>5.4483360659725903</v>
      </c>
      <c r="H29" s="167">
        <v>5.2552982940967281</v>
      </c>
      <c r="I29" s="167">
        <v>4.988860851107332</v>
      </c>
      <c r="J29" s="167">
        <v>4.5400168206664651</v>
      </c>
      <c r="K29" s="167">
        <v>4.2475957284505119</v>
      </c>
      <c r="L29" s="167">
        <v>4.0217469599527815</v>
      </c>
      <c r="M29" s="167">
        <v>4.0313940374397408</v>
      </c>
      <c r="N29" s="167">
        <v>3.6660650346176058</v>
      </c>
      <c r="O29" s="167">
        <v>3.3660704636435685</v>
      </c>
      <c r="P29" s="167">
        <v>3.3058209930336666</v>
      </c>
      <c r="Q29" s="167">
        <v>3.1529238663962316</v>
      </c>
      <c r="R29" s="167">
        <v>2.975457727642846</v>
      </c>
      <c r="S29" s="167">
        <v>2.7111309495208782</v>
      </c>
      <c r="T29" s="167">
        <v>2.660415394654466</v>
      </c>
      <c r="U29" s="167">
        <v>2.6115805252248401</v>
      </c>
      <c r="V29" s="167">
        <v>2.4104664674477925</v>
      </c>
      <c r="W29" s="167">
        <v>2.4457574122525441</v>
      </c>
      <c r="X29" s="167">
        <v>2.4783545052120766</v>
      </c>
      <c r="Y29" s="167">
        <v>2.2889901884387469</v>
      </c>
      <c r="Z29" s="167">
        <v>2.311894738259745</v>
      </c>
      <c r="AA29" s="167">
        <v>2.0778679978756731</v>
      </c>
      <c r="AB29" s="167">
        <v>2.2248232331743143</v>
      </c>
      <c r="AC29" s="167">
        <v>2.2975471775274126</v>
      </c>
      <c r="AD29" s="167">
        <v>1.919749062906742</v>
      </c>
      <c r="AE29" s="167">
        <v>1.6252233407349936</v>
      </c>
      <c r="AF29" s="167">
        <v>1.8298755206374477</v>
      </c>
      <c r="AG29" s="167">
        <v>1.8548048558600487</v>
      </c>
      <c r="AH29" s="167">
        <v>1.8869196149947609</v>
      </c>
      <c r="AI29" s="167">
        <v>1.7930007708375499</v>
      </c>
      <c r="AJ29" s="167">
        <v>1.7298142236348593</v>
      </c>
      <c r="AK29" s="167">
        <v>1.6399788195859628</v>
      </c>
      <c r="AL29" s="167">
        <v>1.639978819585963</v>
      </c>
    </row>
    <row r="30" spans="2:38" s="149" customFormat="1" ht="18.75" customHeight="1">
      <c r="B30" s="89" t="s">
        <v>7</v>
      </c>
      <c r="C30" s="166">
        <v>18.680808971580504</v>
      </c>
      <c r="D30" s="166">
        <v>17.15076395980013</v>
      </c>
      <c r="E30" s="166">
        <v>16.735308927035252</v>
      </c>
      <c r="F30" s="166">
        <v>16.16289474775515</v>
      </c>
      <c r="G30" s="166">
        <v>15.896490561347004</v>
      </c>
      <c r="H30" s="166">
        <v>14.36501291412484</v>
      </c>
      <c r="I30" s="166">
        <v>13.420891487539322</v>
      </c>
      <c r="J30" s="166">
        <v>12.292096779649597</v>
      </c>
      <c r="K30" s="166">
        <v>13.397682181835831</v>
      </c>
      <c r="L30" s="166">
        <v>12.366034710124651</v>
      </c>
      <c r="M30" s="166">
        <v>11.91455733501917</v>
      </c>
      <c r="N30" s="166">
        <v>12.022748871625538</v>
      </c>
      <c r="O30" s="166">
        <v>12.049368806814586</v>
      </c>
      <c r="P30" s="166">
        <v>13.394132041072751</v>
      </c>
      <c r="Q30" s="166">
        <v>13.023493801857205</v>
      </c>
      <c r="R30" s="166">
        <v>12.848985557651591</v>
      </c>
      <c r="S30" s="166">
        <v>12.833397710897533</v>
      </c>
      <c r="T30" s="166">
        <v>12.453975057810137</v>
      </c>
      <c r="U30" s="166">
        <v>13.534144768958305</v>
      </c>
      <c r="V30" s="166">
        <v>11.5417051807416</v>
      </c>
      <c r="W30" s="166">
        <v>11.60714540986525</v>
      </c>
      <c r="X30" s="166">
        <v>11.100374393246284</v>
      </c>
      <c r="Y30" s="166">
        <v>11.645204496031013</v>
      </c>
      <c r="Z30" s="166">
        <v>11.801790022901052</v>
      </c>
      <c r="AA30" s="166">
        <v>12.289628478714514</v>
      </c>
      <c r="AB30" s="166">
        <v>12.362625449351794</v>
      </c>
      <c r="AC30" s="166">
        <v>12.273231176060319</v>
      </c>
      <c r="AD30" s="166">
        <v>12.081171978123734</v>
      </c>
      <c r="AE30" s="166">
        <v>12.767227471204416</v>
      </c>
      <c r="AF30" s="166">
        <v>12.878185156845529</v>
      </c>
      <c r="AG30" s="166">
        <v>11.648256643895905</v>
      </c>
      <c r="AH30" s="166">
        <v>11.311753634830396</v>
      </c>
      <c r="AI30" s="166">
        <v>9.9839011605506318</v>
      </c>
      <c r="AJ30" s="166">
        <v>10.07437739335391</v>
      </c>
      <c r="AK30" s="166">
        <v>10.420505915341572</v>
      </c>
      <c r="AL30" s="166">
        <v>10.366386950854588</v>
      </c>
    </row>
    <row r="31" spans="2:38" s="149" customFormat="1" ht="18.75" customHeight="1">
      <c r="B31" s="1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2:38" s="10" customFormat="1" ht="18.75" customHeight="1">
      <c r="B32" s="152" t="s">
        <v>15</v>
      </c>
      <c r="C32" s="164">
        <f>SUMIF(C33:C40,"&lt;1E+307")</f>
        <v>24841.910471831437</v>
      </c>
      <c r="D32" s="164">
        <f t="shared" ref="D32:AF32" si="17">SUMIF(D33:D40,"&lt;1E+307")</f>
        <v>22336.217250196045</v>
      </c>
      <c r="E32" s="164">
        <f t="shared" si="17"/>
        <v>22774.202932283715</v>
      </c>
      <c r="F32" s="164">
        <f t="shared" si="17"/>
        <v>21712.23343692959</v>
      </c>
      <c r="G32" s="164">
        <f t="shared" si="17"/>
        <v>22212.227810585409</v>
      </c>
      <c r="H32" s="164">
        <f t="shared" si="17"/>
        <v>21758.20364887387</v>
      </c>
      <c r="I32" s="164">
        <f t="shared" si="17"/>
        <v>21533.797891488335</v>
      </c>
      <c r="J32" s="164">
        <f t="shared" si="17"/>
        <v>21691.822870221986</v>
      </c>
      <c r="K32" s="164">
        <f t="shared" si="17"/>
        <v>21762.462523619248</v>
      </c>
      <c r="L32" s="164">
        <f t="shared" si="17"/>
        <v>21952.808638593891</v>
      </c>
      <c r="M32" s="164">
        <f t="shared" si="17"/>
        <v>22351.024190164797</v>
      </c>
      <c r="N32" s="164">
        <f t="shared" si="17"/>
        <v>21750.117643811489</v>
      </c>
      <c r="O32" s="164">
        <f t="shared" si="17"/>
        <v>22476.607296944319</v>
      </c>
      <c r="P32" s="164">
        <f t="shared" si="17"/>
        <v>20078.384677469377</v>
      </c>
      <c r="Q32" s="164">
        <f t="shared" si="17"/>
        <v>21448.446150222226</v>
      </c>
      <c r="R32" s="164">
        <f t="shared" si="17"/>
        <v>21452.285792110666</v>
      </c>
      <c r="S32" s="164">
        <f t="shared" si="17"/>
        <v>21287.741316720472</v>
      </c>
      <c r="T32" s="164">
        <f t="shared" si="17"/>
        <v>22179.785493523301</v>
      </c>
      <c r="U32" s="164">
        <f t="shared" si="17"/>
        <v>20801.949812824878</v>
      </c>
      <c r="V32" s="164">
        <f t="shared" si="17"/>
        <v>21239.980967193675</v>
      </c>
      <c r="W32" s="164">
        <f t="shared" si="17"/>
        <v>21333.8268239725</v>
      </c>
      <c r="X32" s="164">
        <f t="shared" si="17"/>
        <v>21345.146898261868</v>
      </c>
      <c r="Y32" s="164">
        <f t="shared" si="17"/>
        <v>21211.748782819286</v>
      </c>
      <c r="Z32" s="164">
        <f t="shared" si="17"/>
        <v>21946.565423096014</v>
      </c>
      <c r="AA32" s="164">
        <f t="shared" si="17"/>
        <v>22112.391519256929</v>
      </c>
      <c r="AB32" s="164">
        <f t="shared" si="17"/>
        <v>21449.959981259453</v>
      </c>
      <c r="AC32" s="164">
        <f t="shared" si="17"/>
        <v>21983.422641640675</v>
      </c>
      <c r="AD32" s="164">
        <f t="shared" si="17"/>
        <v>22051.033863226432</v>
      </c>
      <c r="AE32" s="164">
        <f t="shared" si="17"/>
        <v>19596.131455921521</v>
      </c>
      <c r="AF32" s="164">
        <f t="shared" si="17"/>
        <v>19945.792968061807</v>
      </c>
      <c r="AG32" s="164">
        <f t="shared" ref="AG32" si="18">SUMIF(AG33:AG40,"&lt;1E+307")</f>
        <v>19109.794763821723</v>
      </c>
      <c r="AH32" s="164">
        <f t="shared" ref="AH32:AL32" si="19">SUMIF(AH33:AH40,"&lt;1E+307")</f>
        <v>19267.63748301538</v>
      </c>
      <c r="AI32" s="164">
        <f t="shared" si="19"/>
        <v>17754.920546843216</v>
      </c>
      <c r="AJ32" s="164">
        <f t="shared" si="19"/>
        <v>18679.749371722595</v>
      </c>
      <c r="AK32" s="164">
        <f t="shared" si="19"/>
        <v>17477.716525290256</v>
      </c>
      <c r="AL32" s="164">
        <f t="shared" si="19"/>
        <v>17217.612957107271</v>
      </c>
    </row>
    <row r="33" spans="2:38" s="149" customFormat="1" ht="18.75" customHeight="1">
      <c r="B33" s="18" t="s">
        <v>18</v>
      </c>
      <c r="C33" s="167">
        <v>66.836947765134468</v>
      </c>
      <c r="D33" s="167">
        <v>66.569852866636367</v>
      </c>
      <c r="E33" s="167">
        <v>64.187809622512972</v>
      </c>
      <c r="F33" s="167">
        <v>66.414822556444818</v>
      </c>
      <c r="G33" s="167">
        <v>67.902168530098734</v>
      </c>
      <c r="H33" s="167">
        <v>68.353556484218373</v>
      </c>
      <c r="I33" s="167">
        <v>71.761545800442775</v>
      </c>
      <c r="J33" s="167">
        <v>70.558970232524473</v>
      </c>
      <c r="K33" s="167">
        <v>67.945322691783915</v>
      </c>
      <c r="L33" s="167">
        <v>68.834245884495047</v>
      </c>
      <c r="M33" s="167">
        <v>68.19274701743845</v>
      </c>
      <c r="N33" s="167">
        <v>68.000252501408482</v>
      </c>
      <c r="O33" s="167">
        <v>67.282531237114299</v>
      </c>
      <c r="P33" s="167">
        <v>63.824670916947561</v>
      </c>
      <c r="Q33" s="167">
        <v>64.298552812392487</v>
      </c>
      <c r="R33" s="167">
        <v>63.737702286608084</v>
      </c>
      <c r="S33" s="167">
        <v>68.652554962228166</v>
      </c>
      <c r="T33" s="167">
        <v>70.422160797254222</v>
      </c>
      <c r="U33" s="167">
        <v>70.463372798772724</v>
      </c>
      <c r="V33" s="167">
        <v>68.465324315906159</v>
      </c>
      <c r="W33" s="167">
        <v>69.60641164884133</v>
      </c>
      <c r="X33" s="167">
        <v>73.566846117497647</v>
      </c>
      <c r="Y33" s="167">
        <v>70.137608867244509</v>
      </c>
      <c r="Z33" s="167">
        <v>70.009878527063691</v>
      </c>
      <c r="AA33" s="167">
        <v>73.954338881733491</v>
      </c>
      <c r="AB33" s="167">
        <v>74.147375143847384</v>
      </c>
      <c r="AC33" s="167">
        <v>74.15204931015748</v>
      </c>
      <c r="AD33" s="167">
        <v>73.581230416724409</v>
      </c>
      <c r="AE33" s="167">
        <v>71.978461754304703</v>
      </c>
      <c r="AF33" s="167">
        <v>72.415655290272852</v>
      </c>
      <c r="AG33" s="167">
        <v>74.11413442353988</v>
      </c>
      <c r="AH33" s="167">
        <v>74.785933380234837</v>
      </c>
      <c r="AI33" s="167">
        <v>72.678747590878004</v>
      </c>
      <c r="AJ33" s="167">
        <v>71.531910013354761</v>
      </c>
      <c r="AK33" s="167">
        <v>71.358606480120713</v>
      </c>
      <c r="AL33" s="167">
        <v>71.183575417101878</v>
      </c>
    </row>
    <row r="34" spans="2:38" s="149" customFormat="1" ht="18.75" customHeight="1">
      <c r="B34" s="89" t="s">
        <v>29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66">
        <v>0</v>
      </c>
      <c r="R34" s="166">
        <v>0</v>
      </c>
      <c r="S34" s="166">
        <v>0</v>
      </c>
      <c r="T34" s="166">
        <v>0</v>
      </c>
      <c r="U34" s="166">
        <v>0</v>
      </c>
      <c r="V34" s="166">
        <v>0</v>
      </c>
      <c r="W34" s="166">
        <v>0</v>
      </c>
      <c r="X34" s="166">
        <v>0</v>
      </c>
      <c r="Y34" s="166">
        <v>0</v>
      </c>
      <c r="Z34" s="166">
        <v>0</v>
      </c>
      <c r="AA34" s="166">
        <v>0</v>
      </c>
      <c r="AB34" s="166">
        <v>0</v>
      </c>
      <c r="AC34" s="166">
        <v>0</v>
      </c>
      <c r="AD34" s="166">
        <v>0</v>
      </c>
      <c r="AE34" s="166">
        <v>0</v>
      </c>
      <c r="AF34" s="166">
        <v>0</v>
      </c>
      <c r="AG34" s="166">
        <v>0</v>
      </c>
      <c r="AH34" s="166">
        <v>0</v>
      </c>
      <c r="AI34" s="166">
        <v>0</v>
      </c>
      <c r="AJ34" s="166">
        <v>0</v>
      </c>
      <c r="AK34" s="166">
        <v>0</v>
      </c>
      <c r="AL34" s="166">
        <v>0</v>
      </c>
    </row>
    <row r="35" spans="2:38" s="149" customFormat="1" ht="18.75" customHeight="1">
      <c r="B35" s="18" t="s">
        <v>30</v>
      </c>
      <c r="C35" s="167">
        <v>4482.1707412995174</v>
      </c>
      <c r="D35" s="167">
        <v>3888.8349858855095</v>
      </c>
      <c r="E35" s="167">
        <v>3917.855406501315</v>
      </c>
      <c r="F35" s="167">
        <v>4023.1115239641899</v>
      </c>
      <c r="G35" s="167">
        <v>4003.13803471335</v>
      </c>
      <c r="H35" s="167">
        <v>3945.802970242642</v>
      </c>
      <c r="I35" s="167">
        <v>3959.0991234527455</v>
      </c>
      <c r="J35" s="167">
        <v>3791.4446243443094</v>
      </c>
      <c r="K35" s="167">
        <v>3857.8162152587397</v>
      </c>
      <c r="L35" s="167">
        <v>3730.8194510052253</v>
      </c>
      <c r="M35" s="167">
        <v>3758.0435630802267</v>
      </c>
      <c r="N35" s="167">
        <v>3880.9007605249576</v>
      </c>
      <c r="O35" s="167">
        <v>3831.059780550218</v>
      </c>
      <c r="P35" s="167">
        <v>3413.6074295916414</v>
      </c>
      <c r="Q35" s="167">
        <v>3695.5541143239357</v>
      </c>
      <c r="R35" s="167">
        <v>3719.6217909199763</v>
      </c>
      <c r="S35" s="167">
        <v>3635.3795499802577</v>
      </c>
      <c r="T35" s="167">
        <v>3821.7171311090224</v>
      </c>
      <c r="U35" s="167">
        <v>3679.8719401604094</v>
      </c>
      <c r="V35" s="167">
        <v>3693.2796230341733</v>
      </c>
      <c r="W35" s="167">
        <v>3662.2550158174404</v>
      </c>
      <c r="X35" s="167">
        <v>3444.8264261582349</v>
      </c>
      <c r="Y35" s="167">
        <v>3425.9068623943554</v>
      </c>
      <c r="Z35" s="167">
        <v>3491.1985667465938</v>
      </c>
      <c r="AA35" s="167">
        <v>3411.9210554472661</v>
      </c>
      <c r="AB35" s="167">
        <v>3250.5690580155879</v>
      </c>
      <c r="AC35" s="167">
        <v>3259.3392340183518</v>
      </c>
      <c r="AD35" s="167">
        <v>3375.2649736589779</v>
      </c>
      <c r="AE35" s="167">
        <v>2743.9327081293936</v>
      </c>
      <c r="AF35" s="167">
        <v>2935.6114078321621</v>
      </c>
      <c r="AG35" s="167">
        <v>2805.7132943611186</v>
      </c>
      <c r="AH35" s="167">
        <v>2961.4809846204348</v>
      </c>
      <c r="AI35" s="167">
        <v>2505.5637886417044</v>
      </c>
      <c r="AJ35" s="167">
        <v>2867.1728125822692</v>
      </c>
      <c r="AK35" s="167">
        <v>2840.5199205673493</v>
      </c>
      <c r="AL35" s="167">
        <v>2485.6403450573325</v>
      </c>
    </row>
    <row r="36" spans="2:38" s="149" customFormat="1" ht="18.75" customHeight="1">
      <c r="B36" s="89" t="s">
        <v>31</v>
      </c>
      <c r="C36" s="166">
        <v>20292.796483643706</v>
      </c>
      <c r="D36" s="166">
        <v>18380.558642769203</v>
      </c>
      <c r="E36" s="166">
        <v>18791.817831279146</v>
      </c>
      <c r="F36" s="166">
        <v>17622.261821809792</v>
      </c>
      <c r="G36" s="166">
        <v>18140.644002589237</v>
      </c>
      <c r="H36" s="166">
        <v>17742.741249849012</v>
      </c>
      <c r="I36" s="166">
        <v>17500.783752162188</v>
      </c>
      <c r="J36" s="166">
        <v>17827.132355702346</v>
      </c>
      <c r="K36" s="166">
        <v>17830.632432178321</v>
      </c>
      <c r="L36" s="166">
        <v>18146.345967662597</v>
      </c>
      <c r="M36" s="166">
        <v>18514.035257609063</v>
      </c>
      <c r="N36" s="166">
        <v>17786.009794456844</v>
      </c>
      <c r="O36" s="166">
        <v>18556.562889739496</v>
      </c>
      <c r="P36" s="166">
        <v>16576.349743752384</v>
      </c>
      <c r="Q36" s="166">
        <v>17656.356464838525</v>
      </c>
      <c r="R36" s="166">
        <v>17584.443646017913</v>
      </c>
      <c r="S36" s="166">
        <v>17472.995336253163</v>
      </c>
      <c r="T36" s="166">
        <v>18145.516902199553</v>
      </c>
      <c r="U36" s="166">
        <v>16899.017074726497</v>
      </c>
      <c r="V36" s="166">
        <v>17297.057805814689</v>
      </c>
      <c r="W36" s="166">
        <v>17391.615763774545</v>
      </c>
      <c r="X36" s="166">
        <v>17591.136643790374</v>
      </c>
      <c r="Y36" s="166">
        <v>17515.986531982249</v>
      </c>
      <c r="Z36" s="166">
        <v>18154.536276528994</v>
      </c>
      <c r="AA36" s="166">
        <v>18399.151522699132</v>
      </c>
      <c r="AB36" s="166">
        <v>17903.118975333175</v>
      </c>
      <c r="AC36" s="166">
        <v>18440.366644996044</v>
      </c>
      <c r="AD36" s="166">
        <v>18405.166249605805</v>
      </c>
      <c r="AE36" s="166">
        <v>16604.219246776927</v>
      </c>
      <c r="AF36" s="166">
        <v>16782.605406001614</v>
      </c>
      <c r="AG36" s="166">
        <v>16095.648148969454</v>
      </c>
      <c r="AH36" s="166">
        <v>16121.790854353678</v>
      </c>
      <c r="AI36" s="166">
        <v>15058.409599081797</v>
      </c>
      <c r="AJ36" s="166">
        <v>15648.393092963461</v>
      </c>
      <c r="AK36" s="166">
        <v>14473.136706952222</v>
      </c>
      <c r="AL36" s="166">
        <v>14570.372419433186</v>
      </c>
    </row>
    <row r="37" spans="2:38" s="149" customFormat="1" ht="18.75" customHeight="1">
      <c r="B37" s="18" t="s">
        <v>32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</row>
    <row r="38" spans="2:38" s="149" customFormat="1" ht="18.75" customHeight="1">
      <c r="B38" s="89" t="s">
        <v>33</v>
      </c>
      <c r="C38" s="166">
        <v>0</v>
      </c>
      <c r="D38" s="166">
        <v>0</v>
      </c>
      <c r="E38" s="166">
        <v>0</v>
      </c>
      <c r="F38" s="166">
        <v>0</v>
      </c>
      <c r="G38" s="166">
        <v>0</v>
      </c>
      <c r="H38" s="166">
        <v>0</v>
      </c>
      <c r="I38" s="166">
        <v>0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  <c r="V38" s="166">
        <v>0</v>
      </c>
      <c r="W38" s="166">
        <v>0</v>
      </c>
      <c r="X38" s="166">
        <v>0</v>
      </c>
      <c r="Y38" s="166">
        <v>0</v>
      </c>
      <c r="Z38" s="166">
        <v>0</v>
      </c>
      <c r="AA38" s="166">
        <v>0</v>
      </c>
      <c r="AB38" s="166">
        <v>0</v>
      </c>
      <c r="AC38" s="166">
        <v>0</v>
      </c>
      <c r="AD38" s="166">
        <v>0</v>
      </c>
      <c r="AE38" s="166">
        <v>0</v>
      </c>
      <c r="AF38" s="166">
        <v>0</v>
      </c>
      <c r="AG38" s="166">
        <v>0</v>
      </c>
      <c r="AH38" s="166">
        <v>0</v>
      </c>
      <c r="AI38" s="166">
        <v>0</v>
      </c>
      <c r="AJ38" s="166">
        <v>0</v>
      </c>
      <c r="AK38" s="166">
        <v>0</v>
      </c>
      <c r="AL38" s="166">
        <v>0</v>
      </c>
    </row>
    <row r="39" spans="2:38" s="149" customFormat="1" ht="18.75" customHeight="1">
      <c r="B39" s="18" t="s">
        <v>34</v>
      </c>
      <c r="C39" s="167">
        <v>0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</row>
    <row r="40" spans="2:38" s="149" customFormat="1" ht="18.75" customHeight="1">
      <c r="B40" s="89" t="s">
        <v>35</v>
      </c>
      <c r="C40" s="166">
        <v>0.10629912307997254</v>
      </c>
      <c r="D40" s="166">
        <v>0.25376867469544345</v>
      </c>
      <c r="E40" s="166">
        <v>0.34188488074270185</v>
      </c>
      <c r="F40" s="166">
        <v>0.44526859916358041</v>
      </c>
      <c r="G40" s="166">
        <v>0.54360475272082565</v>
      </c>
      <c r="H40" s="166">
        <v>1.3058722979991295</v>
      </c>
      <c r="I40" s="166">
        <v>2.1534700729601286</v>
      </c>
      <c r="J40" s="166">
        <v>2.6869199428023713</v>
      </c>
      <c r="K40" s="166">
        <v>6.0685534904041507</v>
      </c>
      <c r="L40" s="166">
        <v>6.8089740415741371</v>
      </c>
      <c r="M40" s="166">
        <v>10.752622458068966</v>
      </c>
      <c r="N40" s="166">
        <v>15.206836328276793</v>
      </c>
      <c r="O40" s="166">
        <v>21.702095417492465</v>
      </c>
      <c r="P40" s="166">
        <v>24.602833208405169</v>
      </c>
      <c r="Q40" s="166">
        <v>32.2370182473719</v>
      </c>
      <c r="R40" s="166">
        <v>84.482652886170172</v>
      </c>
      <c r="S40" s="166">
        <v>110.71387552482223</v>
      </c>
      <c r="T40" s="166">
        <v>142.12929941746768</v>
      </c>
      <c r="U40" s="166">
        <v>152.59742513920014</v>
      </c>
      <c r="V40" s="166">
        <v>181.1782140289078</v>
      </c>
      <c r="W40" s="166">
        <v>210.34963273167321</v>
      </c>
      <c r="X40" s="166">
        <v>235.61698219575982</v>
      </c>
      <c r="Y40" s="166">
        <v>199.71777957543435</v>
      </c>
      <c r="Z40" s="166">
        <v>230.82070129336239</v>
      </c>
      <c r="AA40" s="166">
        <v>227.36460222879725</v>
      </c>
      <c r="AB40" s="166">
        <v>222.12457276684248</v>
      </c>
      <c r="AC40" s="166">
        <v>209.56471331612013</v>
      </c>
      <c r="AD40" s="166">
        <v>197.02140954492654</v>
      </c>
      <c r="AE40" s="166">
        <v>176.00103926089798</v>
      </c>
      <c r="AF40" s="166">
        <v>155.16049893776056</v>
      </c>
      <c r="AG40" s="166">
        <v>134.31918606760729</v>
      </c>
      <c r="AH40" s="166">
        <v>109.57971066103298</v>
      </c>
      <c r="AI40" s="166">
        <v>118.26841152883682</v>
      </c>
      <c r="AJ40" s="166">
        <v>92.651556163509269</v>
      </c>
      <c r="AK40" s="166">
        <v>92.701291290562082</v>
      </c>
      <c r="AL40" s="166">
        <v>90.416617199651384</v>
      </c>
    </row>
    <row r="41" spans="2:38" s="149" customFormat="1" ht="18.75" customHeight="1">
      <c r="B41" s="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</row>
    <row r="42" spans="2:38" s="10" customFormat="1" ht="18.75" customHeight="1">
      <c r="B42" s="152" t="s">
        <v>16</v>
      </c>
      <c r="C42" s="164">
        <f>SUMIF(C43:C46,"&lt;1E+307")</f>
        <v>563.5481968244344</v>
      </c>
      <c r="D42" s="164">
        <f t="shared" ref="D42:AD42" si="20">SUMIF(D43:D46,"&lt;1E+307")</f>
        <v>638.6431053685784</v>
      </c>
      <c r="E42" s="164">
        <f t="shared" si="20"/>
        <v>717.09277475318481</v>
      </c>
      <c r="F42" s="164">
        <f t="shared" si="20"/>
        <v>788.86490553746239</v>
      </c>
      <c r="G42" s="164">
        <f t="shared" si="20"/>
        <v>865.7491748679538</v>
      </c>
      <c r="H42" s="164">
        <f t="shared" si="20"/>
        <v>948.13441643929775</v>
      </c>
      <c r="I42" s="164">
        <f t="shared" si="20"/>
        <v>1028.9469918180123</v>
      </c>
      <c r="J42" s="164">
        <f t="shared" si="20"/>
        <v>1102.0444020691402</v>
      </c>
      <c r="K42" s="164">
        <f t="shared" si="20"/>
        <v>1174.9544901545762</v>
      </c>
      <c r="L42" s="164">
        <f t="shared" si="20"/>
        <v>1234.3112435281721</v>
      </c>
      <c r="M42" s="164">
        <f t="shared" si="20"/>
        <v>1296.8313438401876</v>
      </c>
      <c r="N42" s="164">
        <f t="shared" si="20"/>
        <v>1327.363132626785</v>
      </c>
      <c r="O42" s="164">
        <f t="shared" si="20"/>
        <v>1364.7411719258851</v>
      </c>
      <c r="P42" s="164">
        <f t="shared" si="20"/>
        <v>1374.3399431909347</v>
      </c>
      <c r="Q42" s="164">
        <f t="shared" si="20"/>
        <v>1393.4894080543204</v>
      </c>
      <c r="R42" s="164">
        <f t="shared" si="20"/>
        <v>1501.7999310154376</v>
      </c>
      <c r="S42" s="164">
        <f t="shared" si="20"/>
        <v>1309.1460422058742</v>
      </c>
      <c r="T42" s="164">
        <f t="shared" si="20"/>
        <v>1324.7801352787055</v>
      </c>
      <c r="U42" s="164">
        <f t="shared" si="20"/>
        <v>1325.4893594844978</v>
      </c>
      <c r="V42" s="164">
        <f t="shared" si="20"/>
        <v>1330.6013105048539</v>
      </c>
      <c r="W42" s="164">
        <f t="shared" si="20"/>
        <v>1332.2664720464936</v>
      </c>
      <c r="X42" s="164">
        <f t="shared" si="20"/>
        <v>1348.6594398325778</v>
      </c>
      <c r="Y42" s="164">
        <f t="shared" si="20"/>
        <v>1353.3899749070406</v>
      </c>
      <c r="Z42" s="164">
        <f t="shared" si="20"/>
        <v>1353.1503870132105</v>
      </c>
      <c r="AA42" s="164">
        <f t="shared" si="20"/>
        <v>1361.9125683855912</v>
      </c>
      <c r="AB42" s="164">
        <f t="shared" si="20"/>
        <v>1364.6225259547941</v>
      </c>
      <c r="AC42" s="164">
        <f t="shared" si="20"/>
        <v>1365.503947888795</v>
      </c>
      <c r="AD42" s="164">
        <f t="shared" si="20"/>
        <v>1374.128861181732</v>
      </c>
      <c r="AE42" s="164">
        <f t="shared" ref="AE42:AF42" si="21">SUMIF(AE43:AE46,"&lt;1E+307")</f>
        <v>1369.324252455456</v>
      </c>
      <c r="AF42" s="164">
        <f t="shared" si="21"/>
        <v>1374.7434554954491</v>
      </c>
      <c r="AG42" s="164">
        <f t="shared" ref="AG42" si="22">SUMIF(AG43:AG46,"&lt;1E+307")</f>
        <v>1372.5618856903407</v>
      </c>
      <c r="AH42" s="164">
        <f t="shared" ref="AH42:AL42" si="23">SUMIF(AH43:AH46,"&lt;1E+307")</f>
        <v>1380.6844560135394</v>
      </c>
      <c r="AI42" s="164">
        <f t="shared" si="23"/>
        <v>1369.4950385518528</v>
      </c>
      <c r="AJ42" s="164">
        <f t="shared" si="23"/>
        <v>1374.2757961569653</v>
      </c>
      <c r="AK42" s="164">
        <f t="shared" si="23"/>
        <v>1375.9480622898459</v>
      </c>
      <c r="AL42" s="164">
        <f t="shared" si="23"/>
        <v>1373.3712961159395</v>
      </c>
    </row>
    <row r="43" spans="2:38" s="149" customFormat="1" ht="18.75" customHeight="1">
      <c r="B43" s="18" t="s">
        <v>19</v>
      </c>
      <c r="C43" s="167">
        <v>0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7">
        <v>0</v>
      </c>
      <c r="AI43" s="167">
        <v>0</v>
      </c>
      <c r="AJ43" s="167">
        <v>0</v>
      </c>
      <c r="AK43" s="167">
        <v>0</v>
      </c>
      <c r="AL43" s="167">
        <v>0</v>
      </c>
    </row>
    <row r="44" spans="2:38" s="149" customFormat="1" ht="18.75" customHeight="1">
      <c r="B44" s="89" t="s">
        <v>71</v>
      </c>
      <c r="C44" s="166">
        <v>19.672274999999999</v>
      </c>
      <c r="D44" s="166">
        <v>23.489864999999998</v>
      </c>
      <c r="E44" s="166">
        <v>27.307454999999997</v>
      </c>
      <c r="F44" s="166">
        <v>31.125045</v>
      </c>
      <c r="G44" s="166">
        <v>49.117930994999995</v>
      </c>
      <c r="H44" s="166">
        <v>67.110804004999977</v>
      </c>
      <c r="I44" s="166">
        <v>85.10369</v>
      </c>
      <c r="J44" s="166">
        <v>93.673789999999997</v>
      </c>
      <c r="K44" s="166">
        <v>100.06287136500001</v>
      </c>
      <c r="L44" s="166">
        <v>113.44045481999999</v>
      </c>
      <c r="M44" s="166">
        <v>128.16922159999999</v>
      </c>
      <c r="N44" s="166">
        <v>126.95686674</v>
      </c>
      <c r="O44" s="166">
        <v>147.05442274999999</v>
      </c>
      <c r="P44" s="166">
        <v>146.34072872500002</v>
      </c>
      <c r="Q44" s="166">
        <v>146.98234486999999</v>
      </c>
      <c r="R44" s="166">
        <v>145.44257456</v>
      </c>
      <c r="S44" s="166">
        <v>146.39798541999997</v>
      </c>
      <c r="T44" s="166">
        <v>155.11061513999996</v>
      </c>
      <c r="U44" s="166">
        <v>152.32696822</v>
      </c>
      <c r="V44" s="166">
        <v>153.8920296</v>
      </c>
      <c r="W44" s="166">
        <v>152.52915686</v>
      </c>
      <c r="X44" s="166">
        <v>165.66537328000001</v>
      </c>
      <c r="Y44" s="166">
        <v>171.02173983999995</v>
      </c>
      <c r="Z44" s="166">
        <v>170.76050601999998</v>
      </c>
      <c r="AA44" s="166">
        <v>178.48387165999998</v>
      </c>
      <c r="AB44" s="166">
        <v>179.74331383999998</v>
      </c>
      <c r="AC44" s="166">
        <v>183.73262913999997</v>
      </c>
      <c r="AD44" s="166">
        <v>187.050038</v>
      </c>
      <c r="AE44" s="166">
        <v>180.86721699999998</v>
      </c>
      <c r="AF44" s="166">
        <v>183.51279149999999</v>
      </c>
      <c r="AG44" s="166">
        <v>185.0207475</v>
      </c>
      <c r="AH44" s="166">
        <v>194.67999749999998</v>
      </c>
      <c r="AI44" s="166">
        <v>189.61269002499998</v>
      </c>
      <c r="AJ44" s="166">
        <v>191.96904749999999</v>
      </c>
      <c r="AK44" s="166">
        <v>194.28514749999999</v>
      </c>
      <c r="AL44" s="166">
        <v>194.28514749999999</v>
      </c>
    </row>
    <row r="45" spans="2:38" s="149" customFormat="1" ht="18.75" customHeight="1">
      <c r="B45" s="18" t="s">
        <v>20</v>
      </c>
      <c r="C45" s="167">
        <v>543.87592182443439</v>
      </c>
      <c r="D45" s="167">
        <v>615.15324036857839</v>
      </c>
      <c r="E45" s="167">
        <v>689.78531975318481</v>
      </c>
      <c r="F45" s="167">
        <v>757.73986053746239</v>
      </c>
      <c r="G45" s="167">
        <v>816.63124387295375</v>
      </c>
      <c r="H45" s="167">
        <v>871.38158743429778</v>
      </c>
      <c r="I45" s="167">
        <v>923.75448781351224</v>
      </c>
      <c r="J45" s="167">
        <v>977.0305267042653</v>
      </c>
      <c r="K45" s="167">
        <v>1031.495310294076</v>
      </c>
      <c r="L45" s="167">
        <v>1064.613493077547</v>
      </c>
      <c r="M45" s="167">
        <v>1092.8424153244027</v>
      </c>
      <c r="N45" s="167">
        <v>1115.8117034046577</v>
      </c>
      <c r="O45" s="167">
        <v>1116.5548654258851</v>
      </c>
      <c r="P45" s="167">
        <v>1116.9179885284348</v>
      </c>
      <c r="Q45" s="167">
        <v>1119.7707138093206</v>
      </c>
      <c r="R45" s="167">
        <v>1127.5523814554376</v>
      </c>
      <c r="S45" s="167">
        <v>1132.9859120858744</v>
      </c>
      <c r="T45" s="167">
        <v>1139.5741511887056</v>
      </c>
      <c r="U45" s="167">
        <v>1141.3832361644977</v>
      </c>
      <c r="V45" s="167">
        <v>1144.2484212548541</v>
      </c>
      <c r="W45" s="167">
        <v>1146.3843780864936</v>
      </c>
      <c r="X45" s="167">
        <v>1147.0692806025779</v>
      </c>
      <c r="Y45" s="167">
        <v>1148.1216146170407</v>
      </c>
      <c r="Z45" s="167">
        <v>1148.9341662932106</v>
      </c>
      <c r="AA45" s="167">
        <v>1149.6461813755911</v>
      </c>
      <c r="AB45" s="167">
        <v>1151.9759270147943</v>
      </c>
      <c r="AC45" s="167">
        <v>1150.071655698795</v>
      </c>
      <c r="AD45" s="167">
        <v>1156.3820446817319</v>
      </c>
      <c r="AE45" s="167">
        <v>1158.1793968554559</v>
      </c>
      <c r="AF45" s="167">
        <v>1161.165004195449</v>
      </c>
      <c r="AG45" s="167">
        <v>1157.9965929403406</v>
      </c>
      <c r="AH45" s="167">
        <v>1157.1689181135396</v>
      </c>
      <c r="AI45" s="167">
        <v>1152.2921835768529</v>
      </c>
      <c r="AJ45" s="167">
        <v>1155.5604841569652</v>
      </c>
      <c r="AK45" s="167">
        <v>1155.7605507398459</v>
      </c>
      <c r="AL45" s="167">
        <v>1154.0276850159394</v>
      </c>
    </row>
    <row r="46" spans="2:38" s="149" customFormat="1" ht="18.75" customHeight="1">
      <c r="B46" s="89" t="s">
        <v>28</v>
      </c>
      <c r="C46" s="166">
        <v>0</v>
      </c>
      <c r="D46" s="166">
        <v>0</v>
      </c>
      <c r="E46" s="166">
        <v>0</v>
      </c>
      <c r="F46" s="166">
        <v>0</v>
      </c>
      <c r="G46" s="166">
        <v>0</v>
      </c>
      <c r="H46" s="166">
        <v>9.6420250000000003</v>
      </c>
      <c r="I46" s="166">
        <v>20.088814004500001</v>
      </c>
      <c r="J46" s="166">
        <v>31.340085364875002</v>
      </c>
      <c r="K46" s="166">
        <v>43.396308495499994</v>
      </c>
      <c r="L46" s="166">
        <v>56.257295630625002</v>
      </c>
      <c r="M46" s="166">
        <v>75.819706915784991</v>
      </c>
      <c r="N46" s="166">
        <v>84.5945624821275</v>
      </c>
      <c r="O46" s="166">
        <v>101.13188375</v>
      </c>
      <c r="P46" s="166">
        <v>111.08122593749999</v>
      </c>
      <c r="Q46" s="166">
        <v>126.73634937499999</v>
      </c>
      <c r="R46" s="166">
        <v>228.80497500000001</v>
      </c>
      <c r="S46" s="166">
        <v>29.762144699999997</v>
      </c>
      <c r="T46" s="166">
        <v>30.095368950000001</v>
      </c>
      <c r="U46" s="166">
        <v>31.779155099999997</v>
      </c>
      <c r="V46" s="166">
        <v>32.460859649999996</v>
      </c>
      <c r="W46" s="166">
        <v>33.352937099999998</v>
      </c>
      <c r="X46" s="166">
        <v>35.92478595</v>
      </c>
      <c r="Y46" s="166">
        <v>34.246620450000002</v>
      </c>
      <c r="Z46" s="166">
        <v>33.455714699999994</v>
      </c>
      <c r="AA46" s="166">
        <v>33.782515349999997</v>
      </c>
      <c r="AB46" s="166">
        <v>32.903285099999998</v>
      </c>
      <c r="AC46" s="166">
        <v>31.699663049999995</v>
      </c>
      <c r="AD46" s="166">
        <v>30.696778500000001</v>
      </c>
      <c r="AE46" s="166">
        <v>30.2776386</v>
      </c>
      <c r="AF46" s="166">
        <v>30.065659799999999</v>
      </c>
      <c r="AG46" s="166">
        <v>29.544545249999999</v>
      </c>
      <c r="AH46" s="166">
        <v>28.835540399999992</v>
      </c>
      <c r="AI46" s="166">
        <v>27.590164949999998</v>
      </c>
      <c r="AJ46" s="166">
        <v>26.746264499999999</v>
      </c>
      <c r="AK46" s="166">
        <v>25.902364049999999</v>
      </c>
      <c r="AL46" s="166">
        <v>25.0584636</v>
      </c>
    </row>
    <row r="47" spans="2:38" s="149" customFormat="1" ht="18.75" customHeight="1">
      <c r="B47" s="18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</row>
    <row r="48" spans="2:38" s="10" customFormat="1" ht="18.75" customHeight="1">
      <c r="B48" s="152" t="s">
        <v>124</v>
      </c>
      <c r="C48" s="164">
        <f>SUMIF(C49:C54,"&lt;1E+307")</f>
        <v>1221.4981658987731</v>
      </c>
      <c r="D48" s="164">
        <f t="shared" ref="D48:AH48" si="24">SUMIF(D49:D54,"&lt;1E+307")</f>
        <v>1239.492757662113</v>
      </c>
      <c r="E48" s="164">
        <f t="shared" si="24"/>
        <v>1252.1520243706752</v>
      </c>
      <c r="F48" s="164">
        <f t="shared" si="24"/>
        <v>1154.7835486894257</v>
      </c>
      <c r="G48" s="164">
        <f t="shared" si="24"/>
        <v>1189.4665898446624</v>
      </c>
      <c r="H48" s="164">
        <f t="shared" si="24"/>
        <v>1183.0793639164365</v>
      </c>
      <c r="I48" s="164">
        <f t="shared" si="24"/>
        <v>1212.8623137025781</v>
      </c>
      <c r="J48" s="164">
        <f t="shared" si="24"/>
        <v>1215.7004594942487</v>
      </c>
      <c r="K48" s="164">
        <f t="shared" si="24"/>
        <v>1133.1513236691435</v>
      </c>
      <c r="L48" s="164">
        <f t="shared" si="24"/>
        <v>1192.8386614195811</v>
      </c>
      <c r="M48" s="164">
        <f t="shared" si="24"/>
        <v>1185.7754744118051</v>
      </c>
      <c r="N48" s="164">
        <f t="shared" si="24"/>
        <v>1134.7578664854514</v>
      </c>
      <c r="O48" s="164">
        <f t="shared" si="24"/>
        <v>1117.6794918543189</v>
      </c>
      <c r="P48" s="164">
        <f t="shared" si="24"/>
        <v>1246.0399692753622</v>
      </c>
      <c r="Q48" s="164">
        <f t="shared" si="24"/>
        <v>1172.0834659947518</v>
      </c>
      <c r="R48" s="164">
        <f t="shared" si="24"/>
        <v>1174.7172826971387</v>
      </c>
      <c r="S48" s="164">
        <f t="shared" si="24"/>
        <v>1212.5043318884973</v>
      </c>
      <c r="T48" s="164">
        <f t="shared" si="24"/>
        <v>1134.0924199566778</v>
      </c>
      <c r="U48" s="164">
        <f t="shared" si="24"/>
        <v>1206.5157469989078</v>
      </c>
      <c r="V48" s="164">
        <f t="shared" si="24"/>
        <v>1150.7155281222078</v>
      </c>
      <c r="W48" s="164">
        <f t="shared" si="24"/>
        <v>1128.1938397386261</v>
      </c>
      <c r="X48" s="164">
        <f t="shared" si="24"/>
        <v>1129.7222998599068</v>
      </c>
      <c r="Y48" s="164">
        <f t="shared" si="24"/>
        <v>1136.9068942017363</v>
      </c>
      <c r="Z48" s="164">
        <f t="shared" si="24"/>
        <v>1120.5426482725359</v>
      </c>
      <c r="AA48" s="164">
        <f t="shared" si="24"/>
        <v>1174.8886191821352</v>
      </c>
      <c r="AB48" s="164">
        <f t="shared" si="24"/>
        <v>1153.9991536383213</v>
      </c>
      <c r="AC48" s="164">
        <f t="shared" si="24"/>
        <v>1115.5342467879791</v>
      </c>
      <c r="AD48" s="164">
        <f t="shared" si="24"/>
        <v>1040.0369386171242</v>
      </c>
      <c r="AE48" s="164">
        <f t="shared" si="24"/>
        <v>1131.8191423087646</v>
      </c>
      <c r="AF48" s="164">
        <f t="shared" si="24"/>
        <v>1086.3373920672793</v>
      </c>
      <c r="AG48" s="164">
        <f t="shared" si="24"/>
        <v>1079.4110951117036</v>
      </c>
      <c r="AH48" s="164">
        <f t="shared" si="24"/>
        <v>1011.5240084490987</v>
      </c>
      <c r="AI48" s="164">
        <f t="shared" ref="AI48:AL48" si="25">SUMIF(AI49:AI54,"&lt;1E+307")</f>
        <v>1071.5028086586722</v>
      </c>
      <c r="AJ48" s="164">
        <f t="shared" si="25"/>
        <v>966.76832817049331</v>
      </c>
      <c r="AK48" s="164">
        <f t="shared" si="25"/>
        <v>1091.5653085172216</v>
      </c>
      <c r="AL48" s="164">
        <f t="shared" si="25"/>
        <v>1003.1576931269601</v>
      </c>
    </row>
    <row r="49" spans="2:38" s="149" customFormat="1" ht="18.75" customHeight="1">
      <c r="B49" s="18" t="s">
        <v>125</v>
      </c>
      <c r="C49" s="167">
        <v>435.49099243059106</v>
      </c>
      <c r="D49" s="167">
        <v>448.63864088108221</v>
      </c>
      <c r="E49" s="167">
        <v>461.11910609481424</v>
      </c>
      <c r="F49" s="167">
        <v>400.82874977961444</v>
      </c>
      <c r="G49" s="167">
        <v>421.68845754814117</v>
      </c>
      <c r="H49" s="167">
        <v>414.80970439941524</v>
      </c>
      <c r="I49" s="167">
        <v>438.37992878325701</v>
      </c>
      <c r="J49" s="167">
        <v>441.87326654749774</v>
      </c>
      <c r="K49" s="167">
        <v>393.81435858605391</v>
      </c>
      <c r="L49" s="167">
        <v>427.07032583058657</v>
      </c>
      <c r="M49" s="167">
        <v>426.02546328447431</v>
      </c>
      <c r="N49" s="167">
        <v>389.22251705178974</v>
      </c>
      <c r="O49" s="167">
        <v>379.02978789242752</v>
      </c>
      <c r="P49" s="167">
        <v>474.95486705692088</v>
      </c>
      <c r="Q49" s="167">
        <v>421.05778938363022</v>
      </c>
      <c r="R49" s="167">
        <v>419.82412661043736</v>
      </c>
      <c r="S49" s="167">
        <v>445.71163239979273</v>
      </c>
      <c r="T49" s="167">
        <v>395.7813575044932</v>
      </c>
      <c r="U49" s="167">
        <v>447.51196874048003</v>
      </c>
      <c r="V49" s="167">
        <v>391.15558750372503</v>
      </c>
      <c r="W49" s="167">
        <v>379.8850074334116</v>
      </c>
      <c r="X49" s="167">
        <v>372.22180690763184</v>
      </c>
      <c r="Y49" s="167">
        <v>375.57898720661427</v>
      </c>
      <c r="Z49" s="167">
        <v>361.52330128355891</v>
      </c>
      <c r="AA49" s="167">
        <v>412.22346982062822</v>
      </c>
      <c r="AB49" s="167">
        <v>391.96121985615656</v>
      </c>
      <c r="AC49" s="167">
        <v>383.89017627970509</v>
      </c>
      <c r="AD49" s="167">
        <v>338.61016783860038</v>
      </c>
      <c r="AE49" s="167">
        <v>403.34215913197568</v>
      </c>
      <c r="AF49" s="167">
        <v>376.68851708899035</v>
      </c>
      <c r="AG49" s="167">
        <v>374.41132415881083</v>
      </c>
      <c r="AH49" s="167">
        <v>342.30964715274797</v>
      </c>
      <c r="AI49" s="167">
        <v>393.41542337503131</v>
      </c>
      <c r="AJ49" s="167">
        <v>334.16648180755743</v>
      </c>
      <c r="AK49" s="167">
        <v>465.46232330836045</v>
      </c>
      <c r="AL49" s="167">
        <v>387.35958931106842</v>
      </c>
    </row>
    <row r="50" spans="2:38" s="149" customFormat="1" ht="18.75" customHeight="1">
      <c r="B50" s="89" t="s">
        <v>126</v>
      </c>
      <c r="C50" s="166">
        <v>543.0224910748102</v>
      </c>
      <c r="D50" s="166">
        <v>535.92155977343464</v>
      </c>
      <c r="E50" s="166">
        <v>530.57011433524985</v>
      </c>
      <c r="F50" s="166">
        <v>526.0692232450499</v>
      </c>
      <c r="G50" s="166">
        <v>522.98617204284994</v>
      </c>
      <c r="H50" s="166">
        <v>521.14432611284997</v>
      </c>
      <c r="I50" s="166">
        <v>515.96493600831514</v>
      </c>
      <c r="J50" s="166">
        <v>512.1414170104099</v>
      </c>
      <c r="K50" s="166">
        <v>509.37232775490497</v>
      </c>
      <c r="L50" s="166">
        <v>507.02327059715992</v>
      </c>
      <c r="M50" s="166">
        <v>505.69705124205984</v>
      </c>
      <c r="N50" s="166">
        <v>500.64603536100503</v>
      </c>
      <c r="O50" s="166">
        <v>496.78270742365487</v>
      </c>
      <c r="P50" s="166">
        <v>493.27726795145492</v>
      </c>
      <c r="Q50" s="166">
        <v>491.58785441091504</v>
      </c>
      <c r="R50" s="166">
        <v>491.17205392166494</v>
      </c>
      <c r="S50" s="166">
        <v>486.95693481230279</v>
      </c>
      <c r="T50" s="166">
        <v>483.67331467222749</v>
      </c>
      <c r="U50" s="166">
        <v>481.26776850878389</v>
      </c>
      <c r="V50" s="166">
        <v>480.12051461143392</v>
      </c>
      <c r="W50" s="166">
        <v>480.09548319826553</v>
      </c>
      <c r="X50" s="166">
        <v>475.83780486271257</v>
      </c>
      <c r="Y50" s="166">
        <v>472.36606959258552</v>
      </c>
      <c r="Z50" s="166">
        <v>470.26516885199038</v>
      </c>
      <c r="AA50" s="166">
        <v>469.27524005924045</v>
      </c>
      <c r="AB50" s="166">
        <v>469.3033999980405</v>
      </c>
      <c r="AC50" s="166">
        <v>460.27283294524045</v>
      </c>
      <c r="AD50" s="166">
        <v>451.26410970278539</v>
      </c>
      <c r="AE50" s="166">
        <v>442.45959232167058</v>
      </c>
      <c r="AF50" s="166">
        <v>434.1277400954653</v>
      </c>
      <c r="AG50" s="166">
        <v>425.90039910641531</v>
      </c>
      <c r="AH50" s="166">
        <v>412.00630254551538</v>
      </c>
      <c r="AI50" s="166">
        <v>398.04780287031554</v>
      </c>
      <c r="AJ50" s="166">
        <v>384.27418311366552</v>
      </c>
      <c r="AK50" s="166">
        <v>370.17797042471574</v>
      </c>
      <c r="AL50" s="166">
        <v>347.8051837350726</v>
      </c>
    </row>
    <row r="51" spans="2:38" s="149" customFormat="1" ht="18.75" customHeight="1">
      <c r="B51" s="18" t="s">
        <v>129</v>
      </c>
      <c r="C51" s="167">
        <v>80.598092580636887</v>
      </c>
      <c r="D51" s="167">
        <v>81.985962266596289</v>
      </c>
      <c r="E51" s="167">
        <v>84.275311152596274</v>
      </c>
      <c r="F51" s="167">
        <v>68.54397096439628</v>
      </c>
      <c r="G51" s="167">
        <v>74.861148535846283</v>
      </c>
      <c r="H51" s="167">
        <v>75.195681112046316</v>
      </c>
      <c r="I51" s="167">
        <v>75.263183419029986</v>
      </c>
      <c r="J51" s="167">
        <v>77.522940976680005</v>
      </c>
      <c r="K51" s="167">
        <v>63.907271910130035</v>
      </c>
      <c r="L51" s="167">
        <v>74.142589141780007</v>
      </c>
      <c r="M51" s="167">
        <v>71.882257628579993</v>
      </c>
      <c r="N51" s="167">
        <v>64.365760472161512</v>
      </c>
      <c r="O51" s="167">
        <v>62.557145788611514</v>
      </c>
      <c r="P51" s="167">
        <v>76.6829552172115</v>
      </c>
      <c r="Q51" s="167">
        <v>67.605334740561517</v>
      </c>
      <c r="R51" s="167">
        <v>68.485046651911503</v>
      </c>
      <c r="S51" s="167">
        <v>71.706003336752019</v>
      </c>
      <c r="T51" s="167">
        <v>59.021942422102001</v>
      </c>
      <c r="U51" s="167">
        <v>69.647623328301989</v>
      </c>
      <c r="V51" s="167">
        <v>67.665486565781976</v>
      </c>
      <c r="W51" s="167">
        <v>59.851584722001974</v>
      </c>
      <c r="X51" s="167">
        <v>61.34204852963051</v>
      </c>
      <c r="Y51" s="167">
        <v>65.616450014729011</v>
      </c>
      <c r="Z51" s="167">
        <v>63.194219053584</v>
      </c>
      <c r="AA51" s="167">
        <v>63.728940921368995</v>
      </c>
      <c r="AB51" s="167">
        <v>63.984294256218988</v>
      </c>
      <c r="AC51" s="167">
        <v>65.237170139543693</v>
      </c>
      <c r="AD51" s="167">
        <v>54.410464087503698</v>
      </c>
      <c r="AE51" s="167">
        <v>67.098011738063676</v>
      </c>
      <c r="AF51" s="167">
        <v>62.47073111829868</v>
      </c>
      <c r="AG51" s="167">
        <v>62.206764903152482</v>
      </c>
      <c r="AH51" s="167">
        <v>56.498998865215505</v>
      </c>
      <c r="AI51" s="167">
        <v>61.357106356185476</v>
      </c>
      <c r="AJ51" s="167">
        <v>51.473695289680492</v>
      </c>
      <c r="AK51" s="167">
        <v>51.979253654655494</v>
      </c>
      <c r="AL51" s="167">
        <v>56.594886069846723</v>
      </c>
    </row>
    <row r="52" spans="2:38" s="149" customFormat="1" ht="18.75" customHeight="1">
      <c r="B52" s="89" t="s">
        <v>130</v>
      </c>
      <c r="C52" s="166">
        <v>26.273213222599995</v>
      </c>
      <c r="D52" s="166">
        <v>29.933105840699991</v>
      </c>
      <c r="E52" s="166">
        <v>31.550444157599998</v>
      </c>
      <c r="F52" s="166">
        <v>19.2112188575</v>
      </c>
      <c r="G52" s="166">
        <v>25.093480617849998</v>
      </c>
      <c r="H52" s="166">
        <v>27.03802729784999</v>
      </c>
      <c r="I52" s="166">
        <v>30.808382831299994</v>
      </c>
      <c r="J52" s="166">
        <v>30.263617635499998</v>
      </c>
      <c r="K52" s="166">
        <v>17.727088726600002</v>
      </c>
      <c r="L52" s="166">
        <v>29.616993448949991</v>
      </c>
      <c r="M52" s="166">
        <v>26.625831998450003</v>
      </c>
      <c r="N52" s="166">
        <v>21.467997274550005</v>
      </c>
      <c r="O52" s="166">
        <v>19.472828391849994</v>
      </c>
      <c r="P52" s="166">
        <v>33.954637723350004</v>
      </c>
      <c r="Q52" s="166">
        <v>25.89988109275</v>
      </c>
      <c r="R52" s="166">
        <v>27.622620610349998</v>
      </c>
      <c r="S52" s="166">
        <v>31.474446577799991</v>
      </c>
      <c r="T52" s="166">
        <v>21.69954024015</v>
      </c>
      <c r="U52" s="166">
        <v>29.49129423187701</v>
      </c>
      <c r="V52" s="166">
        <v>31.027726366027</v>
      </c>
      <c r="W52" s="166">
        <v>27.506404693876995</v>
      </c>
      <c r="X52" s="166">
        <v>28.516243795226998</v>
      </c>
      <c r="Y52" s="166">
        <v>29.221396173277004</v>
      </c>
      <c r="Z52" s="166">
        <v>29.293869170927003</v>
      </c>
      <c r="AA52" s="166">
        <v>30.688540345042</v>
      </c>
      <c r="AB52" s="166">
        <v>28.326404107579993</v>
      </c>
      <c r="AC52" s="166">
        <v>31.144807117144396</v>
      </c>
      <c r="AD52" s="166">
        <v>22.241385430089395</v>
      </c>
      <c r="AE52" s="166">
        <v>37.792972946504399</v>
      </c>
      <c r="AF52" s="166">
        <v>32.244373546874399</v>
      </c>
      <c r="AG52" s="166">
        <v>33.8850370630744</v>
      </c>
      <c r="AH52" s="166">
        <v>26.345014619874398</v>
      </c>
      <c r="AI52" s="166">
        <v>38.190048381524392</v>
      </c>
      <c r="AJ52" s="166">
        <v>24.137480397574397</v>
      </c>
      <c r="AK52" s="166">
        <v>26.762886932124395</v>
      </c>
      <c r="AL52" s="166">
        <v>37.860931057540547</v>
      </c>
    </row>
    <row r="53" spans="2:38" s="149" customFormat="1" ht="18.75" customHeight="1">
      <c r="B53" s="18" t="s">
        <v>131</v>
      </c>
      <c r="C53" s="167">
        <v>136.11337659013492</v>
      </c>
      <c r="D53" s="167">
        <v>143.01348890030002</v>
      </c>
      <c r="E53" s="167">
        <v>144.63704863041499</v>
      </c>
      <c r="F53" s="167">
        <v>140.130385842865</v>
      </c>
      <c r="G53" s="167">
        <v>144.83733109997505</v>
      </c>
      <c r="H53" s="167">
        <v>144.89162499427502</v>
      </c>
      <c r="I53" s="167">
        <v>152.44588266067606</v>
      </c>
      <c r="J53" s="167">
        <v>153.89921732416104</v>
      </c>
      <c r="K53" s="167">
        <v>148.33027669145451</v>
      </c>
      <c r="L53" s="167">
        <v>154.98548240110452</v>
      </c>
      <c r="M53" s="167">
        <v>155.54487025824099</v>
      </c>
      <c r="N53" s="167">
        <v>159.05555632594502</v>
      </c>
      <c r="O53" s="167">
        <v>159.83702235777494</v>
      </c>
      <c r="P53" s="167">
        <v>167.17024132642501</v>
      </c>
      <c r="Q53" s="167">
        <v>165.93260636689499</v>
      </c>
      <c r="R53" s="167">
        <v>167.61343490277508</v>
      </c>
      <c r="S53" s="167">
        <v>176.65531476184989</v>
      </c>
      <c r="T53" s="167">
        <v>173.91626511770502</v>
      </c>
      <c r="U53" s="167">
        <v>178.597092189465</v>
      </c>
      <c r="V53" s="167">
        <v>180.74621307524001</v>
      </c>
      <c r="W53" s="167">
        <v>180.85535969106996</v>
      </c>
      <c r="X53" s="167">
        <v>191.80439576470502</v>
      </c>
      <c r="Y53" s="167">
        <v>194.12399121453049</v>
      </c>
      <c r="Z53" s="167">
        <v>196.26608991247556</v>
      </c>
      <c r="AA53" s="167">
        <v>198.97242803585553</v>
      </c>
      <c r="AB53" s="167">
        <v>200.42383542032547</v>
      </c>
      <c r="AC53" s="167">
        <v>174.98926030634556</v>
      </c>
      <c r="AD53" s="167">
        <v>173.51081155814543</v>
      </c>
      <c r="AE53" s="167">
        <v>181.12640617055041</v>
      </c>
      <c r="AF53" s="167">
        <v>180.8060302176506</v>
      </c>
      <c r="AG53" s="167">
        <v>183.00756988025054</v>
      </c>
      <c r="AH53" s="167">
        <v>174.36404526574543</v>
      </c>
      <c r="AI53" s="167">
        <v>180.49242767561549</v>
      </c>
      <c r="AJ53" s="167">
        <v>172.71648756201552</v>
      </c>
      <c r="AK53" s="167">
        <v>177.18287419736546</v>
      </c>
      <c r="AL53" s="167">
        <v>173.53710295343188</v>
      </c>
    </row>
    <row r="54" spans="2:38" s="149" customFormat="1" ht="18.75" customHeight="1">
      <c r="B54" s="89" t="s">
        <v>127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0</v>
      </c>
      <c r="V54" s="166">
        <v>0</v>
      </c>
      <c r="W54" s="166">
        <v>0</v>
      </c>
      <c r="X54" s="166">
        <v>0</v>
      </c>
      <c r="Y54" s="166">
        <v>0</v>
      </c>
      <c r="Z54" s="166">
        <v>0</v>
      </c>
      <c r="AA54" s="166">
        <v>0</v>
      </c>
      <c r="AB54" s="166">
        <v>0</v>
      </c>
      <c r="AC54" s="166">
        <v>0</v>
      </c>
      <c r="AD54" s="166">
        <v>0</v>
      </c>
      <c r="AE54" s="166">
        <v>0</v>
      </c>
      <c r="AF54" s="166">
        <v>0</v>
      </c>
      <c r="AG54" s="166">
        <v>0</v>
      </c>
      <c r="AH54" s="166">
        <v>0</v>
      </c>
      <c r="AI54" s="166">
        <v>0</v>
      </c>
      <c r="AJ54" s="166">
        <v>0</v>
      </c>
      <c r="AK54" s="166">
        <v>0</v>
      </c>
      <c r="AL54" s="166">
        <v>0</v>
      </c>
    </row>
    <row r="55" spans="2:38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C31-9D08-4B6F-8BEF-6D6E73030395}">
  <sheetPr>
    <pageSetUpPr fitToPage="1"/>
  </sheetPr>
  <dimension ref="B1:AL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149" customWidth="1"/>
    <col min="2" max="2" width="62.7109375" style="149" customWidth="1"/>
    <col min="3" max="3" width="10.85546875" style="149" customWidth="1"/>
    <col min="4" max="7" width="10.85546875" style="149" hidden="1" customWidth="1" outlineLevel="1"/>
    <col min="8" max="8" width="10.85546875" style="149" customWidth="1" collapsed="1"/>
    <col min="9" max="12" width="10.85546875" style="149" hidden="1" customWidth="1" outlineLevel="1"/>
    <col min="13" max="13" width="10.85546875" style="149" customWidth="1" collapsed="1"/>
    <col min="14" max="17" width="10.85546875" style="149" hidden="1" customWidth="1" outlineLevel="1"/>
    <col min="18" max="18" width="10.85546875" style="149" customWidth="1" collapsed="1"/>
    <col min="19" max="22" width="10.85546875" style="149" hidden="1" customWidth="1" outlineLevel="1"/>
    <col min="23" max="23" width="10.85546875" style="149" customWidth="1" collapsed="1"/>
    <col min="24" max="27" width="10.85546875" style="149" customWidth="1" outlineLevel="1"/>
    <col min="28" max="28" width="10.85546875" style="149" customWidth="1"/>
    <col min="29" max="32" width="10.85546875" style="149" customWidth="1" outlineLevel="1"/>
    <col min="33" max="38" width="10.85546875" style="149" customWidth="1"/>
    <col min="39" max="16384" width="11.42578125" style="149"/>
  </cols>
  <sheetData>
    <row r="1" spans="2:38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2:38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2:38" ht="22.5" customHeight="1">
      <c r="B3" s="3" t="s">
        <v>128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150" t="s">
        <v>76</v>
      </c>
      <c r="C4" s="154">
        <v>32874</v>
      </c>
      <c r="D4" s="154">
        <v>33239</v>
      </c>
      <c r="E4" s="154">
        <v>33604</v>
      </c>
      <c r="F4" s="154">
        <v>33970</v>
      </c>
      <c r="G4" s="154">
        <v>34335</v>
      </c>
      <c r="H4" s="154">
        <v>34700</v>
      </c>
      <c r="I4" s="154">
        <v>35065</v>
      </c>
      <c r="J4" s="154">
        <v>35431</v>
      </c>
      <c r="K4" s="154">
        <v>35796</v>
      </c>
      <c r="L4" s="154">
        <v>36161</v>
      </c>
      <c r="M4" s="154">
        <v>36526</v>
      </c>
      <c r="N4" s="154">
        <v>36892</v>
      </c>
      <c r="O4" s="154">
        <v>37257</v>
      </c>
      <c r="P4" s="154">
        <v>37622</v>
      </c>
      <c r="Q4" s="154">
        <v>37987</v>
      </c>
      <c r="R4" s="154">
        <v>38353</v>
      </c>
      <c r="S4" s="154">
        <v>38718</v>
      </c>
      <c r="T4" s="154">
        <v>39083</v>
      </c>
      <c r="U4" s="154">
        <v>39448</v>
      </c>
      <c r="V4" s="154">
        <v>39814</v>
      </c>
      <c r="W4" s="154">
        <v>40179</v>
      </c>
      <c r="X4" s="154">
        <v>40544</v>
      </c>
      <c r="Y4" s="154">
        <v>40909</v>
      </c>
      <c r="Z4" s="154">
        <v>41275</v>
      </c>
      <c r="AA4" s="154">
        <v>41640</v>
      </c>
      <c r="AB4" s="154">
        <v>42005</v>
      </c>
      <c r="AC4" s="154">
        <v>42370</v>
      </c>
      <c r="AD4" s="154">
        <v>42736</v>
      </c>
      <c r="AE4" s="154">
        <v>43101</v>
      </c>
      <c r="AF4" s="154">
        <v>43466</v>
      </c>
      <c r="AG4" s="154">
        <v>43831</v>
      </c>
      <c r="AH4" s="154">
        <v>44197</v>
      </c>
      <c r="AI4" s="154">
        <v>44562</v>
      </c>
      <c r="AJ4" s="154">
        <v>44927</v>
      </c>
      <c r="AK4" s="154">
        <v>45292</v>
      </c>
      <c r="AL4" s="154">
        <v>45658</v>
      </c>
    </row>
    <row r="5" spans="2:38" s="10" customFormat="1" ht="18.75" customHeight="1">
      <c r="B5" s="151" t="s">
        <v>21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</row>
    <row r="6" spans="2:38" s="10" customFormat="1" ht="18.75" customHeight="1">
      <c r="B6" s="24" t="s">
        <v>22</v>
      </c>
      <c r="C6" s="164">
        <f t="shared" ref="C6:AH6" si="0">SUM(C9,C14,C21,C26,C32,C42)</f>
        <v>12325.230016656433</v>
      </c>
      <c r="D6" s="164">
        <f t="shared" si="0"/>
        <v>11890.971293902523</v>
      </c>
      <c r="E6" s="164">
        <f t="shared" si="0"/>
        <v>12383.011298783038</v>
      </c>
      <c r="F6" s="164">
        <f t="shared" si="0"/>
        <v>15009.908521257143</v>
      </c>
      <c r="G6" s="164">
        <f t="shared" si="0"/>
        <v>15450.421358784681</v>
      </c>
      <c r="H6" s="164">
        <f t="shared" si="0"/>
        <v>16023.092297390234</v>
      </c>
      <c r="I6" s="164">
        <f t="shared" si="0"/>
        <v>15217.656700779098</v>
      </c>
      <c r="J6" s="164">
        <f t="shared" si="0"/>
        <v>15439.946674291648</v>
      </c>
      <c r="K6" s="164">
        <f t="shared" si="0"/>
        <v>15938.867814518846</v>
      </c>
      <c r="L6" s="164">
        <f t="shared" si="0"/>
        <v>14244.144904239463</v>
      </c>
      <c r="M6" s="164">
        <f t="shared" si="0"/>
        <v>12707.014209896866</v>
      </c>
      <c r="N6" s="164">
        <f t="shared" si="0"/>
        <v>13461.389934018407</v>
      </c>
      <c r="O6" s="164">
        <f t="shared" si="0"/>
        <v>13493.683761178887</v>
      </c>
      <c r="P6" s="164">
        <f t="shared" si="0"/>
        <v>13022.892362675928</v>
      </c>
      <c r="Q6" s="164">
        <f t="shared" si="0"/>
        <v>13438.58366024494</v>
      </c>
      <c r="R6" s="164">
        <f t="shared" si="0"/>
        <v>13607.520923730894</v>
      </c>
      <c r="S6" s="164">
        <f t="shared" si="0"/>
        <v>13533.480674491555</v>
      </c>
      <c r="T6" s="164">
        <f t="shared" si="0"/>
        <v>13657.340715087134</v>
      </c>
      <c r="U6" s="164">
        <f t="shared" si="0"/>
        <v>13635.506065896407</v>
      </c>
      <c r="V6" s="164">
        <f t="shared" si="0"/>
        <v>14030.580499925227</v>
      </c>
      <c r="W6" s="164">
        <f t="shared" si="0"/>
        <v>13683.246998306735</v>
      </c>
      <c r="X6" s="164">
        <f t="shared" si="0"/>
        <v>13887.556878260519</v>
      </c>
      <c r="Y6" s="164">
        <f t="shared" si="0"/>
        <v>14128.76283225833</v>
      </c>
      <c r="Z6" s="164">
        <f t="shared" si="0"/>
        <v>14194.673571587844</v>
      </c>
      <c r="AA6" s="164">
        <f t="shared" si="0"/>
        <v>14212.619423950418</v>
      </c>
      <c r="AB6" s="164">
        <f t="shared" si="0"/>
        <v>14616.840024276675</v>
      </c>
      <c r="AC6" s="164">
        <f t="shared" si="0"/>
        <v>14575.772312727169</v>
      </c>
      <c r="AD6" s="164">
        <f t="shared" si="0"/>
        <v>14497.358428472187</v>
      </c>
      <c r="AE6" s="164">
        <f t="shared" si="0"/>
        <v>13530.71692653332</v>
      </c>
      <c r="AF6" s="164">
        <f t="shared" si="0"/>
        <v>12708.274141821457</v>
      </c>
      <c r="AG6" s="164">
        <f t="shared" si="0"/>
        <v>11165.406708530529</v>
      </c>
      <c r="AH6" s="164">
        <f t="shared" si="0"/>
        <v>10499.455920760818</v>
      </c>
      <c r="AI6" s="164">
        <f t="shared" ref="AI6:AL6" si="1">SUM(AI9,AI14,AI21,AI26,AI32,AI42)</f>
        <v>9570.9457908492641</v>
      </c>
      <c r="AJ6" s="164">
        <f t="shared" si="1"/>
        <v>9034.6939983984776</v>
      </c>
      <c r="AK6" s="164">
        <f t="shared" si="1"/>
        <v>8867.3245809426971</v>
      </c>
      <c r="AL6" s="164">
        <f t="shared" si="1"/>
        <v>8734.031358910177</v>
      </c>
    </row>
    <row r="7" spans="2:38" s="10" customFormat="1" ht="18.75" customHeight="1">
      <c r="B7" s="22" t="s">
        <v>23</v>
      </c>
      <c r="C7" s="165">
        <f t="shared" ref="C7:AH7" si="2">SUM(C9,C14,C21,C26,C32,C42,C48)</f>
        <v>12325.230016656433</v>
      </c>
      <c r="D7" s="165">
        <f t="shared" si="2"/>
        <v>11890.971293902523</v>
      </c>
      <c r="E7" s="165">
        <f t="shared" si="2"/>
        <v>12383.011298783038</v>
      </c>
      <c r="F7" s="165">
        <f t="shared" si="2"/>
        <v>15009.908521257143</v>
      </c>
      <c r="G7" s="165">
        <f t="shared" si="2"/>
        <v>15450.421358784681</v>
      </c>
      <c r="H7" s="165">
        <f t="shared" si="2"/>
        <v>16023.092297390234</v>
      </c>
      <c r="I7" s="165">
        <f t="shared" si="2"/>
        <v>15217.656700779098</v>
      </c>
      <c r="J7" s="165">
        <f t="shared" si="2"/>
        <v>15439.946674291648</v>
      </c>
      <c r="K7" s="165">
        <f t="shared" si="2"/>
        <v>15938.867814518846</v>
      </c>
      <c r="L7" s="165">
        <f t="shared" si="2"/>
        <v>14244.144904239463</v>
      </c>
      <c r="M7" s="165">
        <f t="shared" si="2"/>
        <v>12707.014209896866</v>
      </c>
      <c r="N7" s="165">
        <f t="shared" si="2"/>
        <v>13461.389934018407</v>
      </c>
      <c r="O7" s="165">
        <f t="shared" si="2"/>
        <v>13493.683761178887</v>
      </c>
      <c r="P7" s="165">
        <f t="shared" si="2"/>
        <v>13022.892362675928</v>
      </c>
      <c r="Q7" s="165">
        <f t="shared" si="2"/>
        <v>13438.58366024494</v>
      </c>
      <c r="R7" s="165">
        <f t="shared" si="2"/>
        <v>13607.520923730894</v>
      </c>
      <c r="S7" s="165">
        <f t="shared" si="2"/>
        <v>13533.480674491555</v>
      </c>
      <c r="T7" s="165">
        <f t="shared" si="2"/>
        <v>13657.340715087134</v>
      </c>
      <c r="U7" s="165">
        <f t="shared" si="2"/>
        <v>13635.506065896407</v>
      </c>
      <c r="V7" s="165">
        <f t="shared" si="2"/>
        <v>14030.580499925227</v>
      </c>
      <c r="W7" s="165">
        <f t="shared" si="2"/>
        <v>13683.246998306735</v>
      </c>
      <c r="X7" s="165">
        <f t="shared" si="2"/>
        <v>13887.556878260519</v>
      </c>
      <c r="Y7" s="165">
        <f t="shared" si="2"/>
        <v>14128.76283225833</v>
      </c>
      <c r="Z7" s="165">
        <f t="shared" si="2"/>
        <v>14194.673571587844</v>
      </c>
      <c r="AA7" s="165">
        <f t="shared" si="2"/>
        <v>14212.619423950418</v>
      </c>
      <c r="AB7" s="165">
        <f t="shared" si="2"/>
        <v>14616.840024276675</v>
      </c>
      <c r="AC7" s="165">
        <f t="shared" si="2"/>
        <v>14575.772312727169</v>
      </c>
      <c r="AD7" s="165">
        <f t="shared" si="2"/>
        <v>14497.358428472187</v>
      </c>
      <c r="AE7" s="165">
        <f t="shared" si="2"/>
        <v>13530.71692653332</v>
      </c>
      <c r="AF7" s="165">
        <f t="shared" si="2"/>
        <v>12708.274141821457</v>
      </c>
      <c r="AG7" s="165">
        <f t="shared" si="2"/>
        <v>11165.406708530529</v>
      </c>
      <c r="AH7" s="165">
        <f t="shared" si="2"/>
        <v>10499.455920760818</v>
      </c>
      <c r="AI7" s="165">
        <f t="shared" ref="AI7:AL7" si="3">SUM(AI9,AI14,AI21,AI26,AI32,AI42,AI48)</f>
        <v>9570.9457908492641</v>
      </c>
      <c r="AJ7" s="165">
        <f t="shared" si="3"/>
        <v>9034.6939983984776</v>
      </c>
      <c r="AK7" s="165">
        <f t="shared" si="3"/>
        <v>8867.3245809426971</v>
      </c>
      <c r="AL7" s="165">
        <f t="shared" si="3"/>
        <v>8734.031358910177</v>
      </c>
    </row>
    <row r="8" spans="2:38" ht="18.75" customHeight="1">
      <c r="B8" s="89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</row>
    <row r="9" spans="2:38" s="10" customFormat="1" ht="18.75" customHeight="1">
      <c r="B9" s="151" t="s">
        <v>8</v>
      </c>
      <c r="C9" s="165">
        <f t="shared" ref="C9:AH9" si="4">SUMIF(C10:C12,"&lt;1E+307")</f>
        <v>0</v>
      </c>
      <c r="D9" s="165">
        <f t="shared" si="4"/>
        <v>0</v>
      </c>
      <c r="E9" s="165">
        <f t="shared" si="4"/>
        <v>0</v>
      </c>
      <c r="F9" s="165">
        <f t="shared" si="4"/>
        <v>0</v>
      </c>
      <c r="G9" s="165">
        <f t="shared" si="4"/>
        <v>0</v>
      </c>
      <c r="H9" s="165">
        <f t="shared" si="4"/>
        <v>0</v>
      </c>
      <c r="I9" s="165">
        <f t="shared" si="4"/>
        <v>0</v>
      </c>
      <c r="J9" s="165">
        <f t="shared" si="4"/>
        <v>0</v>
      </c>
      <c r="K9" s="165">
        <f t="shared" si="4"/>
        <v>0</v>
      </c>
      <c r="L9" s="165">
        <f t="shared" si="4"/>
        <v>0</v>
      </c>
      <c r="M9" s="165">
        <f t="shared" si="4"/>
        <v>0</v>
      </c>
      <c r="N9" s="165">
        <f t="shared" si="4"/>
        <v>0</v>
      </c>
      <c r="O9" s="165">
        <f t="shared" si="4"/>
        <v>0</v>
      </c>
      <c r="P9" s="165">
        <f t="shared" si="4"/>
        <v>0</v>
      </c>
      <c r="Q9" s="165">
        <f t="shared" si="4"/>
        <v>0</v>
      </c>
      <c r="R9" s="165">
        <f t="shared" si="4"/>
        <v>0</v>
      </c>
      <c r="S9" s="165">
        <f t="shared" si="4"/>
        <v>0</v>
      </c>
      <c r="T9" s="165">
        <f t="shared" si="4"/>
        <v>0</v>
      </c>
      <c r="U9" s="165">
        <f t="shared" si="4"/>
        <v>0</v>
      </c>
      <c r="V9" s="165">
        <f t="shared" si="4"/>
        <v>0</v>
      </c>
      <c r="W9" s="165">
        <f t="shared" si="4"/>
        <v>0</v>
      </c>
      <c r="X9" s="165">
        <f t="shared" si="4"/>
        <v>0</v>
      </c>
      <c r="Y9" s="165">
        <f t="shared" si="4"/>
        <v>0</v>
      </c>
      <c r="Z9" s="165">
        <f t="shared" si="4"/>
        <v>0</v>
      </c>
      <c r="AA9" s="165">
        <f t="shared" si="4"/>
        <v>0</v>
      </c>
      <c r="AB9" s="165">
        <f t="shared" si="4"/>
        <v>0</v>
      </c>
      <c r="AC9" s="165">
        <f t="shared" si="4"/>
        <v>0</v>
      </c>
      <c r="AD9" s="165">
        <f t="shared" si="4"/>
        <v>0</v>
      </c>
      <c r="AE9" s="165">
        <f t="shared" si="4"/>
        <v>0</v>
      </c>
      <c r="AF9" s="165">
        <f t="shared" si="4"/>
        <v>0</v>
      </c>
      <c r="AG9" s="165">
        <f t="shared" si="4"/>
        <v>0</v>
      </c>
      <c r="AH9" s="165">
        <f t="shared" si="4"/>
        <v>0</v>
      </c>
      <c r="AI9" s="165">
        <f t="shared" ref="AI9:AL9" si="5">SUMIF(AI10:AI12,"&lt;1E+307")</f>
        <v>0</v>
      </c>
      <c r="AJ9" s="165">
        <f t="shared" si="5"/>
        <v>0</v>
      </c>
      <c r="AK9" s="165">
        <f t="shared" si="5"/>
        <v>0</v>
      </c>
      <c r="AL9" s="165">
        <f t="shared" si="5"/>
        <v>0</v>
      </c>
    </row>
    <row r="10" spans="2:38" ht="18.75" customHeight="1">
      <c r="B10" s="89" t="s">
        <v>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</row>
    <row r="11" spans="2:38" ht="18.75" customHeight="1">
      <c r="B11" s="18" t="s">
        <v>2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2:38" ht="18.75" customHeight="1">
      <c r="B12" s="89" t="s">
        <v>1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</row>
    <row r="13" spans="2:38" ht="18.75" customHeight="1">
      <c r="B13" s="18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</row>
    <row r="14" spans="2:38" s="10" customFormat="1" ht="18.75" customHeight="1">
      <c r="B14" s="152" t="s">
        <v>9</v>
      </c>
      <c r="C14" s="164">
        <f t="shared" ref="C14:AH14" si="6">SUMIF(C15:C19,"&lt;1E+307")</f>
        <v>12325.230016656433</v>
      </c>
      <c r="D14" s="164">
        <f t="shared" si="6"/>
        <v>11890.971293902523</v>
      </c>
      <c r="E14" s="164">
        <f t="shared" si="6"/>
        <v>12383.011298783038</v>
      </c>
      <c r="F14" s="164">
        <f t="shared" si="6"/>
        <v>15009.908521257143</v>
      </c>
      <c r="G14" s="164">
        <f t="shared" si="6"/>
        <v>15450.421358784681</v>
      </c>
      <c r="H14" s="164">
        <f t="shared" si="6"/>
        <v>16023.092297390234</v>
      </c>
      <c r="I14" s="164">
        <f t="shared" si="6"/>
        <v>15217.656700779098</v>
      </c>
      <c r="J14" s="164">
        <f t="shared" si="6"/>
        <v>15439.946674291648</v>
      </c>
      <c r="K14" s="164">
        <f t="shared" si="6"/>
        <v>15938.867814518846</v>
      </c>
      <c r="L14" s="164">
        <f t="shared" si="6"/>
        <v>14244.144904239463</v>
      </c>
      <c r="M14" s="164">
        <f t="shared" si="6"/>
        <v>12707.014209896866</v>
      </c>
      <c r="N14" s="164">
        <f t="shared" si="6"/>
        <v>13461.389934018407</v>
      </c>
      <c r="O14" s="164">
        <f t="shared" si="6"/>
        <v>13493.683761178887</v>
      </c>
      <c r="P14" s="164">
        <f t="shared" si="6"/>
        <v>13022.892362675928</v>
      </c>
      <c r="Q14" s="164">
        <f t="shared" si="6"/>
        <v>13438.58366024494</v>
      </c>
      <c r="R14" s="164">
        <f t="shared" si="6"/>
        <v>13607.520923730894</v>
      </c>
      <c r="S14" s="164">
        <f t="shared" si="6"/>
        <v>13533.480674491555</v>
      </c>
      <c r="T14" s="164">
        <f t="shared" si="6"/>
        <v>13657.340715087134</v>
      </c>
      <c r="U14" s="164">
        <f t="shared" si="6"/>
        <v>13635.506065896407</v>
      </c>
      <c r="V14" s="164">
        <f t="shared" si="6"/>
        <v>14030.580499925227</v>
      </c>
      <c r="W14" s="164">
        <f t="shared" si="6"/>
        <v>13683.246998306735</v>
      </c>
      <c r="X14" s="164">
        <f t="shared" si="6"/>
        <v>13887.556878260519</v>
      </c>
      <c r="Y14" s="164">
        <f t="shared" si="6"/>
        <v>14128.76283225833</v>
      </c>
      <c r="Z14" s="164">
        <f t="shared" si="6"/>
        <v>14194.673571587844</v>
      </c>
      <c r="AA14" s="164">
        <f t="shared" si="6"/>
        <v>14212.619423950418</v>
      </c>
      <c r="AB14" s="164">
        <f t="shared" si="6"/>
        <v>14616.840024276675</v>
      </c>
      <c r="AC14" s="164">
        <f t="shared" si="6"/>
        <v>14575.772312727169</v>
      </c>
      <c r="AD14" s="164">
        <f t="shared" si="6"/>
        <v>14497.358428472187</v>
      </c>
      <c r="AE14" s="164">
        <f t="shared" si="6"/>
        <v>13530.71692653332</v>
      </c>
      <c r="AF14" s="164">
        <f t="shared" si="6"/>
        <v>12708.274141821457</v>
      </c>
      <c r="AG14" s="164">
        <f t="shared" si="6"/>
        <v>11165.406708530529</v>
      </c>
      <c r="AH14" s="164">
        <f t="shared" si="6"/>
        <v>10499.455920760818</v>
      </c>
      <c r="AI14" s="164">
        <f t="shared" ref="AI14:AL14" si="7">SUMIF(AI15:AI19,"&lt;1E+307")</f>
        <v>9570.9457908492641</v>
      </c>
      <c r="AJ14" s="164">
        <f t="shared" si="7"/>
        <v>9034.6939983984776</v>
      </c>
      <c r="AK14" s="164">
        <f t="shared" si="7"/>
        <v>8867.3245809426971</v>
      </c>
      <c r="AL14" s="164">
        <f t="shared" si="7"/>
        <v>8734.031358910177</v>
      </c>
    </row>
    <row r="15" spans="2:38" ht="18.75" customHeight="1">
      <c r="B15" s="18" t="s">
        <v>24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</row>
    <row r="16" spans="2:38" ht="18.75" customHeight="1">
      <c r="B16" s="89" t="s">
        <v>11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</row>
    <row r="17" spans="2:38" ht="18.75" customHeight="1">
      <c r="B17" s="18" t="s">
        <v>12</v>
      </c>
      <c r="C17" s="167">
        <v>4787.2147543920992</v>
      </c>
      <c r="D17" s="167">
        <v>4400.0174505063897</v>
      </c>
      <c r="E17" s="167">
        <v>4394.8278020470361</v>
      </c>
      <c r="F17" s="167">
        <v>4394.1082016959463</v>
      </c>
      <c r="G17" s="167">
        <v>4390.19700178741</v>
      </c>
      <c r="H17" s="167">
        <v>4635.0000014738989</v>
      </c>
      <c r="I17" s="167">
        <v>3417.8700003362001</v>
      </c>
      <c r="J17" s="167">
        <v>3296.8050010126999</v>
      </c>
      <c r="K17" s="167">
        <v>3212.8700007555999</v>
      </c>
      <c r="L17" s="167">
        <v>3019.3750041982003</v>
      </c>
      <c r="M17" s="167">
        <v>1488.6100006593999</v>
      </c>
      <c r="N17" s="167">
        <v>1389.4099984708998</v>
      </c>
      <c r="O17" s="167">
        <v>1516.97500127988</v>
      </c>
      <c r="P17" s="167">
        <v>797.77500164492483</v>
      </c>
      <c r="Q17" s="167">
        <v>774.27499762821003</v>
      </c>
      <c r="R17" s="167">
        <v>779.14000683334507</v>
      </c>
      <c r="S17" s="167">
        <v>519.27500149910998</v>
      </c>
      <c r="T17" s="167">
        <v>320.420003834505</v>
      </c>
      <c r="U17" s="167">
        <v>549.13700486709001</v>
      </c>
      <c r="V17" s="167">
        <v>860.45137999999997</v>
      </c>
      <c r="W17" s="167">
        <v>265.86664999999999</v>
      </c>
      <c r="X17" s="167">
        <v>147.33199000000002</v>
      </c>
      <c r="Y17" s="167">
        <v>150.00389999999999</v>
      </c>
      <c r="Z17" s="167">
        <v>150.01304500000001</v>
      </c>
      <c r="AA17" s="167">
        <v>56.38225825</v>
      </c>
      <c r="AB17" s="167">
        <v>68.032210425000002</v>
      </c>
      <c r="AC17" s="167">
        <v>70.577462874999995</v>
      </c>
      <c r="AD17" s="167">
        <v>72.983072449999995</v>
      </c>
      <c r="AE17" s="167">
        <v>60.100951649999999</v>
      </c>
      <c r="AF17" s="167">
        <v>55.145035649999997</v>
      </c>
      <c r="AG17" s="167">
        <v>50.690224530000002</v>
      </c>
      <c r="AH17" s="167">
        <v>41.954501280000002</v>
      </c>
      <c r="AI17" s="167">
        <v>45.214686194999999</v>
      </c>
      <c r="AJ17" s="167">
        <v>31.125766087999999</v>
      </c>
      <c r="AK17" s="167">
        <v>30.176094755000001</v>
      </c>
      <c r="AL17" s="167">
        <v>157.75</v>
      </c>
    </row>
    <row r="18" spans="2:38" ht="18.75" customHeight="1">
      <c r="B18" s="89" t="s">
        <v>13</v>
      </c>
      <c r="C18" s="166">
        <v>2782.4199999999996</v>
      </c>
      <c r="D18" s="166">
        <v>2408.2049999999999</v>
      </c>
      <c r="E18" s="166">
        <v>2177.1800000000003</v>
      </c>
      <c r="F18" s="166">
        <v>2031.2950000000001</v>
      </c>
      <c r="G18" s="166">
        <v>1724.4179999999999</v>
      </c>
      <c r="H18" s="166">
        <v>1812.5744999999999</v>
      </c>
      <c r="I18" s="166">
        <v>1740.0125</v>
      </c>
      <c r="J18" s="166">
        <v>1329.1469999999999</v>
      </c>
      <c r="K18" s="166">
        <v>1448.4972</v>
      </c>
      <c r="L18" s="166">
        <v>1116.2004999999999</v>
      </c>
      <c r="M18" s="166">
        <v>696.1724999999999</v>
      </c>
      <c r="N18" s="166">
        <v>819.69540000000006</v>
      </c>
      <c r="O18" s="166">
        <v>852.32600000000002</v>
      </c>
      <c r="P18" s="166">
        <v>977.5773999999999</v>
      </c>
      <c r="Q18" s="166">
        <v>1081.7473</v>
      </c>
      <c r="R18" s="166">
        <v>1069.06051</v>
      </c>
      <c r="S18" s="166">
        <v>822.33213499999999</v>
      </c>
      <c r="T18" s="166">
        <v>620.01889000000006</v>
      </c>
      <c r="U18" s="166">
        <v>466.10608000000002</v>
      </c>
      <c r="V18" s="166">
        <v>300.18969250000004</v>
      </c>
      <c r="W18" s="166">
        <v>256.51609500000001</v>
      </c>
      <c r="X18" s="166">
        <v>159.53800000000001</v>
      </c>
      <c r="Y18" s="166">
        <v>134.41063750000001</v>
      </c>
      <c r="Z18" s="166">
        <v>146.81044499999999</v>
      </c>
      <c r="AA18" s="166">
        <v>136.21764249999998</v>
      </c>
      <c r="AB18" s="166">
        <v>134.3474975</v>
      </c>
      <c r="AC18" s="166">
        <v>159.12319000000002</v>
      </c>
      <c r="AD18" s="166">
        <v>198.82122249999998</v>
      </c>
      <c r="AE18" s="166">
        <v>219.49256260000001</v>
      </c>
      <c r="AF18" s="166">
        <v>142.54875000000001</v>
      </c>
      <c r="AG18" s="166">
        <v>129.62020999999999</v>
      </c>
      <c r="AH18" s="166">
        <v>119.22445999999999</v>
      </c>
      <c r="AI18" s="166">
        <v>142.53189</v>
      </c>
      <c r="AJ18" s="166">
        <v>109.1525</v>
      </c>
      <c r="AK18" s="166">
        <v>206.1675103</v>
      </c>
      <c r="AL18" s="166">
        <v>173.23700000000002</v>
      </c>
    </row>
    <row r="19" spans="2:38" ht="18.75" customHeight="1">
      <c r="B19" s="18" t="s">
        <v>77</v>
      </c>
      <c r="C19" s="167">
        <v>4755.5952622643345</v>
      </c>
      <c r="D19" s="167">
        <v>5082.7488433961335</v>
      </c>
      <c r="E19" s="167">
        <v>5811.0034967360016</v>
      </c>
      <c r="F19" s="167">
        <v>8584.5053195611963</v>
      </c>
      <c r="G19" s="167">
        <v>9335.806356997271</v>
      </c>
      <c r="H19" s="167">
        <v>9575.5177959163357</v>
      </c>
      <c r="I19" s="167">
        <v>10059.774200442898</v>
      </c>
      <c r="J19" s="167">
        <v>10813.994673278949</v>
      </c>
      <c r="K19" s="167">
        <v>11277.500613763246</v>
      </c>
      <c r="L19" s="167">
        <v>10108.569400041262</v>
      </c>
      <c r="M19" s="167">
        <v>10522.231709237467</v>
      </c>
      <c r="N19" s="167">
        <v>11252.284535547507</v>
      </c>
      <c r="O19" s="167">
        <v>11124.382759899006</v>
      </c>
      <c r="P19" s="167">
        <v>11247.539961031003</v>
      </c>
      <c r="Q19" s="167">
        <v>11582.561362616731</v>
      </c>
      <c r="R19" s="167">
        <v>11759.320406897548</v>
      </c>
      <c r="S19" s="167">
        <v>12191.873537992446</v>
      </c>
      <c r="T19" s="167">
        <v>12716.901821252628</v>
      </c>
      <c r="U19" s="167">
        <v>12620.262981029317</v>
      </c>
      <c r="V19" s="167">
        <v>12869.939427425226</v>
      </c>
      <c r="W19" s="167">
        <v>13160.864253306734</v>
      </c>
      <c r="X19" s="167">
        <v>13580.686888260519</v>
      </c>
      <c r="Y19" s="167">
        <v>13844.348294758329</v>
      </c>
      <c r="Z19" s="167">
        <v>13897.850081587843</v>
      </c>
      <c r="AA19" s="167">
        <v>14020.019523200419</v>
      </c>
      <c r="AB19" s="167">
        <v>14414.460316351675</v>
      </c>
      <c r="AC19" s="167">
        <v>14346.071659852169</v>
      </c>
      <c r="AD19" s="167">
        <v>14225.554133522188</v>
      </c>
      <c r="AE19" s="167">
        <v>13251.123412283319</v>
      </c>
      <c r="AF19" s="167">
        <v>12510.580356171457</v>
      </c>
      <c r="AG19" s="167">
        <v>10985.096274000529</v>
      </c>
      <c r="AH19" s="167">
        <v>10338.276959480818</v>
      </c>
      <c r="AI19" s="167">
        <v>9383.1992146542634</v>
      </c>
      <c r="AJ19" s="167">
        <v>8894.4157323104773</v>
      </c>
      <c r="AK19" s="167">
        <v>8630.9809758876963</v>
      </c>
      <c r="AL19" s="167">
        <v>8403.0443589101778</v>
      </c>
    </row>
    <row r="20" spans="2:38" ht="18.75" customHeight="1">
      <c r="B20" s="8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</row>
    <row r="21" spans="2:38" s="10" customFormat="1" ht="18.75" customHeight="1">
      <c r="B21" s="151" t="s">
        <v>10</v>
      </c>
      <c r="C21" s="165">
        <f>SUMIF(C22:C24,"&lt;1E+307")</f>
        <v>0</v>
      </c>
      <c r="D21" s="165">
        <f t="shared" ref="D21:AH21" si="8">SUMIF(D22:D24,"&lt;1E+307")</f>
        <v>0</v>
      </c>
      <c r="E21" s="165">
        <f t="shared" si="8"/>
        <v>0</v>
      </c>
      <c r="F21" s="165">
        <f t="shared" si="8"/>
        <v>0</v>
      </c>
      <c r="G21" s="165">
        <f t="shared" si="8"/>
        <v>0</v>
      </c>
      <c r="H21" s="165">
        <f t="shared" si="8"/>
        <v>0</v>
      </c>
      <c r="I21" s="165">
        <f t="shared" si="8"/>
        <v>0</v>
      </c>
      <c r="J21" s="165">
        <f t="shared" si="8"/>
        <v>0</v>
      </c>
      <c r="K21" s="165">
        <f t="shared" si="8"/>
        <v>0</v>
      </c>
      <c r="L21" s="165">
        <f t="shared" si="8"/>
        <v>0</v>
      </c>
      <c r="M21" s="165">
        <f t="shared" si="8"/>
        <v>0</v>
      </c>
      <c r="N21" s="165">
        <f t="shared" si="8"/>
        <v>0</v>
      </c>
      <c r="O21" s="165">
        <f t="shared" si="8"/>
        <v>0</v>
      </c>
      <c r="P21" s="165">
        <f t="shared" si="8"/>
        <v>0</v>
      </c>
      <c r="Q21" s="165">
        <f t="shared" si="8"/>
        <v>0</v>
      </c>
      <c r="R21" s="165">
        <f t="shared" si="8"/>
        <v>0</v>
      </c>
      <c r="S21" s="165">
        <f t="shared" si="8"/>
        <v>0</v>
      </c>
      <c r="T21" s="165">
        <f t="shared" si="8"/>
        <v>0</v>
      </c>
      <c r="U21" s="165">
        <f t="shared" si="8"/>
        <v>0</v>
      </c>
      <c r="V21" s="165">
        <f t="shared" si="8"/>
        <v>0</v>
      </c>
      <c r="W21" s="165">
        <f t="shared" si="8"/>
        <v>0</v>
      </c>
      <c r="X21" s="165">
        <f t="shared" si="8"/>
        <v>0</v>
      </c>
      <c r="Y21" s="165">
        <f t="shared" si="8"/>
        <v>0</v>
      </c>
      <c r="Z21" s="165">
        <f t="shared" si="8"/>
        <v>0</v>
      </c>
      <c r="AA21" s="165">
        <f t="shared" si="8"/>
        <v>0</v>
      </c>
      <c r="AB21" s="165">
        <f t="shared" si="8"/>
        <v>0</v>
      </c>
      <c r="AC21" s="165">
        <f t="shared" si="8"/>
        <v>0</v>
      </c>
      <c r="AD21" s="165">
        <f t="shared" si="8"/>
        <v>0</v>
      </c>
      <c r="AE21" s="165">
        <f t="shared" si="8"/>
        <v>0</v>
      </c>
      <c r="AF21" s="165">
        <f t="shared" si="8"/>
        <v>0</v>
      </c>
      <c r="AG21" s="165">
        <f t="shared" si="8"/>
        <v>0</v>
      </c>
      <c r="AH21" s="165">
        <f t="shared" si="8"/>
        <v>0</v>
      </c>
      <c r="AI21" s="165">
        <f t="shared" ref="AI21:AL21" si="9">SUMIF(AI22:AI24,"&lt;1E+307")</f>
        <v>0</v>
      </c>
      <c r="AJ21" s="165">
        <f t="shared" si="9"/>
        <v>0</v>
      </c>
      <c r="AK21" s="165">
        <f t="shared" si="9"/>
        <v>0</v>
      </c>
      <c r="AL21" s="165">
        <f t="shared" si="9"/>
        <v>0</v>
      </c>
    </row>
    <row r="22" spans="2:38" ht="18.75" customHeight="1">
      <c r="B22" s="89" t="s">
        <v>69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</row>
    <row r="23" spans="2:38" ht="18.75" customHeight="1">
      <c r="B23" s="18" t="s">
        <v>17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</row>
    <row r="24" spans="2:38" ht="18.75" customHeight="1">
      <c r="B24" s="89" t="s">
        <v>70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</row>
    <row r="25" spans="2:38" ht="18.75" customHeight="1">
      <c r="B25" s="1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</row>
    <row r="26" spans="2:38" s="10" customFormat="1" ht="18.75" customHeight="1">
      <c r="B26" s="152" t="s">
        <v>14</v>
      </c>
      <c r="C26" s="164">
        <f>SUMIF(C27:C30,"&lt;1E+307")</f>
        <v>0</v>
      </c>
      <c r="D26" s="164">
        <f t="shared" ref="D26:AH26" si="10">SUMIF(D27:D30,"&lt;1E+307")</f>
        <v>0</v>
      </c>
      <c r="E26" s="164">
        <f t="shared" si="10"/>
        <v>0</v>
      </c>
      <c r="F26" s="164">
        <f t="shared" si="10"/>
        <v>0</v>
      </c>
      <c r="G26" s="164">
        <f t="shared" si="10"/>
        <v>0</v>
      </c>
      <c r="H26" s="164">
        <f t="shared" si="10"/>
        <v>0</v>
      </c>
      <c r="I26" s="164">
        <f t="shared" si="10"/>
        <v>0</v>
      </c>
      <c r="J26" s="164">
        <f t="shared" si="10"/>
        <v>0</v>
      </c>
      <c r="K26" s="164">
        <f t="shared" si="10"/>
        <v>0</v>
      </c>
      <c r="L26" s="164">
        <f t="shared" si="10"/>
        <v>0</v>
      </c>
      <c r="M26" s="164">
        <f t="shared" si="10"/>
        <v>0</v>
      </c>
      <c r="N26" s="164">
        <f t="shared" si="10"/>
        <v>0</v>
      </c>
      <c r="O26" s="164">
        <f t="shared" si="10"/>
        <v>0</v>
      </c>
      <c r="P26" s="164">
        <f t="shared" si="10"/>
        <v>0</v>
      </c>
      <c r="Q26" s="164">
        <f t="shared" si="10"/>
        <v>0</v>
      </c>
      <c r="R26" s="164">
        <f t="shared" si="10"/>
        <v>0</v>
      </c>
      <c r="S26" s="164">
        <f t="shared" si="10"/>
        <v>0</v>
      </c>
      <c r="T26" s="164">
        <f t="shared" si="10"/>
        <v>0</v>
      </c>
      <c r="U26" s="164">
        <f t="shared" si="10"/>
        <v>0</v>
      </c>
      <c r="V26" s="164">
        <f t="shared" si="10"/>
        <v>0</v>
      </c>
      <c r="W26" s="164">
        <f t="shared" si="10"/>
        <v>0</v>
      </c>
      <c r="X26" s="164">
        <f t="shared" si="10"/>
        <v>0</v>
      </c>
      <c r="Y26" s="164">
        <f t="shared" si="10"/>
        <v>0</v>
      </c>
      <c r="Z26" s="164">
        <f t="shared" si="10"/>
        <v>0</v>
      </c>
      <c r="AA26" s="164">
        <f t="shared" si="10"/>
        <v>0</v>
      </c>
      <c r="AB26" s="164">
        <f t="shared" si="10"/>
        <v>0</v>
      </c>
      <c r="AC26" s="164">
        <f t="shared" si="10"/>
        <v>0</v>
      </c>
      <c r="AD26" s="164">
        <f t="shared" si="10"/>
        <v>0</v>
      </c>
      <c r="AE26" s="164">
        <f t="shared" si="10"/>
        <v>0</v>
      </c>
      <c r="AF26" s="164">
        <f t="shared" si="10"/>
        <v>0</v>
      </c>
      <c r="AG26" s="164">
        <f t="shared" si="10"/>
        <v>0</v>
      </c>
      <c r="AH26" s="164">
        <f t="shared" si="10"/>
        <v>0</v>
      </c>
      <c r="AI26" s="164">
        <f t="shared" ref="AI26:AL26" si="11">SUMIF(AI27:AI30,"&lt;1E+307")</f>
        <v>0</v>
      </c>
      <c r="AJ26" s="164">
        <f t="shared" si="11"/>
        <v>0</v>
      </c>
      <c r="AK26" s="164">
        <f t="shared" si="11"/>
        <v>0</v>
      </c>
      <c r="AL26" s="164">
        <f t="shared" si="11"/>
        <v>0</v>
      </c>
    </row>
    <row r="27" spans="2:38" ht="18.75" customHeight="1">
      <c r="B27" s="18" t="s">
        <v>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</row>
    <row r="28" spans="2:38" ht="18.75" customHeight="1">
      <c r="B28" s="89" t="s">
        <v>5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2:38" ht="18.75" customHeight="1">
      <c r="B29" s="18" t="s">
        <v>6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</row>
    <row r="30" spans="2:38" ht="18.75" customHeight="1">
      <c r="B30" s="89" t="s">
        <v>7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</row>
    <row r="31" spans="2:38" ht="18.75" customHeight="1">
      <c r="B31" s="1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2:38" s="10" customFormat="1" ht="18.75" customHeight="1">
      <c r="B32" s="152" t="s">
        <v>15</v>
      </c>
      <c r="C32" s="164">
        <f>SUMIF(C33:C40,"&lt;1E+307")</f>
        <v>0</v>
      </c>
      <c r="D32" s="164">
        <f t="shared" ref="D32:AH32" si="12">SUMIF(D33:D40,"&lt;1E+307")</f>
        <v>0</v>
      </c>
      <c r="E32" s="164">
        <f t="shared" si="12"/>
        <v>0</v>
      </c>
      <c r="F32" s="164">
        <f t="shared" si="12"/>
        <v>0</v>
      </c>
      <c r="G32" s="164">
        <f t="shared" si="12"/>
        <v>0</v>
      </c>
      <c r="H32" s="164">
        <f t="shared" si="12"/>
        <v>0</v>
      </c>
      <c r="I32" s="164">
        <f t="shared" si="12"/>
        <v>0</v>
      </c>
      <c r="J32" s="164">
        <f t="shared" si="12"/>
        <v>0</v>
      </c>
      <c r="K32" s="164">
        <f t="shared" si="12"/>
        <v>0</v>
      </c>
      <c r="L32" s="164">
        <f t="shared" si="12"/>
        <v>0</v>
      </c>
      <c r="M32" s="164">
        <f t="shared" si="12"/>
        <v>0</v>
      </c>
      <c r="N32" s="164">
        <f t="shared" si="12"/>
        <v>0</v>
      </c>
      <c r="O32" s="164">
        <f t="shared" si="12"/>
        <v>0</v>
      </c>
      <c r="P32" s="164">
        <f t="shared" si="12"/>
        <v>0</v>
      </c>
      <c r="Q32" s="164">
        <f t="shared" si="12"/>
        <v>0</v>
      </c>
      <c r="R32" s="164">
        <f t="shared" si="12"/>
        <v>0</v>
      </c>
      <c r="S32" s="164">
        <f t="shared" si="12"/>
        <v>0</v>
      </c>
      <c r="T32" s="164">
        <f t="shared" si="12"/>
        <v>0</v>
      </c>
      <c r="U32" s="164">
        <f t="shared" si="12"/>
        <v>0</v>
      </c>
      <c r="V32" s="164">
        <f t="shared" si="12"/>
        <v>0</v>
      </c>
      <c r="W32" s="164">
        <f t="shared" si="12"/>
        <v>0</v>
      </c>
      <c r="X32" s="164">
        <f t="shared" si="12"/>
        <v>0</v>
      </c>
      <c r="Y32" s="164">
        <f t="shared" si="12"/>
        <v>0</v>
      </c>
      <c r="Z32" s="164">
        <f t="shared" si="12"/>
        <v>0</v>
      </c>
      <c r="AA32" s="164">
        <f t="shared" si="12"/>
        <v>0</v>
      </c>
      <c r="AB32" s="164">
        <f t="shared" si="12"/>
        <v>0</v>
      </c>
      <c r="AC32" s="164">
        <f t="shared" si="12"/>
        <v>0</v>
      </c>
      <c r="AD32" s="164">
        <f t="shared" si="12"/>
        <v>0</v>
      </c>
      <c r="AE32" s="164">
        <f t="shared" si="12"/>
        <v>0</v>
      </c>
      <c r="AF32" s="164">
        <f t="shared" si="12"/>
        <v>0</v>
      </c>
      <c r="AG32" s="164">
        <f t="shared" si="12"/>
        <v>0</v>
      </c>
      <c r="AH32" s="164">
        <f t="shared" si="12"/>
        <v>0</v>
      </c>
      <c r="AI32" s="164">
        <f t="shared" ref="AI32:AL32" si="13">SUMIF(AI33:AI40,"&lt;1E+307")</f>
        <v>0</v>
      </c>
      <c r="AJ32" s="164">
        <f t="shared" si="13"/>
        <v>0</v>
      </c>
      <c r="AK32" s="164">
        <f t="shared" si="13"/>
        <v>0</v>
      </c>
      <c r="AL32" s="164">
        <f t="shared" si="13"/>
        <v>0</v>
      </c>
    </row>
    <row r="33" spans="2:38" ht="18.75" customHeight="1">
      <c r="B33" s="18" t="s">
        <v>18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</row>
    <row r="34" spans="2:38" ht="18.75" customHeight="1">
      <c r="B34" s="89" t="s">
        <v>29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  <row r="35" spans="2:38" ht="18.75" customHeight="1">
      <c r="B35" s="18" t="s">
        <v>30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</row>
    <row r="36" spans="2:38" ht="18.75" customHeight="1">
      <c r="B36" s="89" t="s">
        <v>31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</row>
    <row r="37" spans="2:38" ht="18.75" customHeight="1">
      <c r="B37" s="18" t="s">
        <v>32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</row>
    <row r="38" spans="2:38" ht="18.75" customHeight="1">
      <c r="B38" s="89" t="s">
        <v>33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</row>
    <row r="39" spans="2:38" ht="18.75" customHeight="1">
      <c r="B39" s="18" t="s">
        <v>34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</row>
    <row r="40" spans="2:38" ht="18.75" customHeight="1">
      <c r="B40" s="89" t="s">
        <v>35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</row>
    <row r="41" spans="2:38" ht="18.75" customHeight="1">
      <c r="B41" s="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</row>
    <row r="42" spans="2:38" s="10" customFormat="1" ht="18.75" customHeight="1">
      <c r="B42" s="152" t="s">
        <v>16</v>
      </c>
      <c r="C42" s="164">
        <f>SUMIF(C43:C46,"&lt;1E+307")</f>
        <v>0</v>
      </c>
      <c r="D42" s="164">
        <f t="shared" ref="D42:AH42" si="14">SUMIF(D43:D46,"&lt;1E+307")</f>
        <v>0</v>
      </c>
      <c r="E42" s="164">
        <f t="shared" si="14"/>
        <v>0</v>
      </c>
      <c r="F42" s="164">
        <f t="shared" si="14"/>
        <v>0</v>
      </c>
      <c r="G42" s="164">
        <f t="shared" si="14"/>
        <v>0</v>
      </c>
      <c r="H42" s="164">
        <f t="shared" si="14"/>
        <v>0</v>
      </c>
      <c r="I42" s="164">
        <f t="shared" si="14"/>
        <v>0</v>
      </c>
      <c r="J42" s="164">
        <f t="shared" si="14"/>
        <v>0</v>
      </c>
      <c r="K42" s="164">
        <f t="shared" si="14"/>
        <v>0</v>
      </c>
      <c r="L42" s="164">
        <f t="shared" si="14"/>
        <v>0</v>
      </c>
      <c r="M42" s="164">
        <f t="shared" si="14"/>
        <v>0</v>
      </c>
      <c r="N42" s="164">
        <f t="shared" si="14"/>
        <v>0</v>
      </c>
      <c r="O42" s="164">
        <f t="shared" si="14"/>
        <v>0</v>
      </c>
      <c r="P42" s="164">
        <f t="shared" si="14"/>
        <v>0</v>
      </c>
      <c r="Q42" s="164">
        <f t="shared" si="14"/>
        <v>0</v>
      </c>
      <c r="R42" s="164">
        <f t="shared" si="14"/>
        <v>0</v>
      </c>
      <c r="S42" s="164">
        <f t="shared" si="14"/>
        <v>0</v>
      </c>
      <c r="T42" s="164">
        <f t="shared" si="14"/>
        <v>0</v>
      </c>
      <c r="U42" s="164">
        <f t="shared" si="14"/>
        <v>0</v>
      </c>
      <c r="V42" s="164">
        <f t="shared" si="14"/>
        <v>0</v>
      </c>
      <c r="W42" s="164">
        <f t="shared" si="14"/>
        <v>0</v>
      </c>
      <c r="X42" s="164">
        <f t="shared" si="14"/>
        <v>0</v>
      </c>
      <c r="Y42" s="164">
        <f t="shared" si="14"/>
        <v>0</v>
      </c>
      <c r="Z42" s="164">
        <f t="shared" si="14"/>
        <v>0</v>
      </c>
      <c r="AA42" s="164">
        <f t="shared" si="14"/>
        <v>0</v>
      </c>
      <c r="AB42" s="164">
        <f t="shared" si="14"/>
        <v>0</v>
      </c>
      <c r="AC42" s="164">
        <f t="shared" si="14"/>
        <v>0</v>
      </c>
      <c r="AD42" s="164">
        <f t="shared" si="14"/>
        <v>0</v>
      </c>
      <c r="AE42" s="164">
        <f t="shared" si="14"/>
        <v>0</v>
      </c>
      <c r="AF42" s="164">
        <f t="shared" si="14"/>
        <v>0</v>
      </c>
      <c r="AG42" s="164">
        <f t="shared" si="14"/>
        <v>0</v>
      </c>
      <c r="AH42" s="164">
        <f t="shared" si="14"/>
        <v>0</v>
      </c>
      <c r="AI42" s="164">
        <f t="shared" ref="AI42:AL42" si="15">SUMIF(AI43:AI46,"&lt;1E+307")</f>
        <v>0</v>
      </c>
      <c r="AJ42" s="164">
        <f t="shared" si="15"/>
        <v>0</v>
      </c>
      <c r="AK42" s="164">
        <f t="shared" si="15"/>
        <v>0</v>
      </c>
      <c r="AL42" s="164">
        <f t="shared" si="15"/>
        <v>0</v>
      </c>
    </row>
    <row r="43" spans="2:38" ht="18.75" customHeight="1">
      <c r="B43" s="18" t="s">
        <v>19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</row>
    <row r="44" spans="2:38" ht="18.75" customHeight="1">
      <c r="B44" s="89" t="s">
        <v>71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</row>
    <row r="45" spans="2:38" ht="18.75" customHeight="1">
      <c r="B45" s="18" t="s">
        <v>20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</row>
    <row r="46" spans="2:38" ht="18.75" customHeight="1">
      <c r="B46" s="89" t="s">
        <v>28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</row>
    <row r="47" spans="2:38" ht="18.75" customHeight="1">
      <c r="B47" s="18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</row>
    <row r="48" spans="2:38" s="10" customFormat="1" ht="18.75" customHeight="1">
      <c r="B48" s="152" t="s">
        <v>124</v>
      </c>
      <c r="C48" s="164">
        <f>SUMIF(C49:C54,"&lt;1E+307")</f>
        <v>0</v>
      </c>
      <c r="D48" s="164">
        <f t="shared" ref="D48:AH48" si="16">SUMIF(D49:D54,"&lt;1E+307")</f>
        <v>0</v>
      </c>
      <c r="E48" s="164">
        <f t="shared" si="16"/>
        <v>0</v>
      </c>
      <c r="F48" s="164">
        <f t="shared" si="16"/>
        <v>0</v>
      </c>
      <c r="G48" s="164">
        <f t="shared" si="16"/>
        <v>0</v>
      </c>
      <c r="H48" s="164">
        <f t="shared" si="16"/>
        <v>0</v>
      </c>
      <c r="I48" s="164">
        <f t="shared" si="16"/>
        <v>0</v>
      </c>
      <c r="J48" s="164">
        <f t="shared" si="16"/>
        <v>0</v>
      </c>
      <c r="K48" s="164">
        <f t="shared" si="16"/>
        <v>0</v>
      </c>
      <c r="L48" s="164">
        <f t="shared" si="16"/>
        <v>0</v>
      </c>
      <c r="M48" s="164">
        <f t="shared" si="16"/>
        <v>0</v>
      </c>
      <c r="N48" s="164">
        <f t="shared" si="16"/>
        <v>0</v>
      </c>
      <c r="O48" s="164">
        <f t="shared" si="16"/>
        <v>0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ref="AI48:AL48" si="17">SUMIF(AI49:AI54,"&lt;1E+307")</f>
        <v>0</v>
      </c>
      <c r="AJ48" s="164">
        <f t="shared" si="17"/>
        <v>0</v>
      </c>
      <c r="AK48" s="164">
        <f t="shared" si="17"/>
        <v>0</v>
      </c>
      <c r="AL48" s="164">
        <f t="shared" si="17"/>
        <v>0</v>
      </c>
    </row>
    <row r="49" spans="2:38" ht="18.75" customHeight="1">
      <c r="B49" s="18" t="s">
        <v>125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</row>
    <row r="50" spans="2:38" ht="18.75" customHeight="1">
      <c r="B50" s="89" t="s">
        <v>126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</row>
    <row r="51" spans="2:38" ht="18.75" customHeight="1">
      <c r="B51" s="18" t="s">
        <v>129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</row>
    <row r="52" spans="2:38" ht="18.75" customHeight="1">
      <c r="B52" s="89" t="s">
        <v>130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</row>
    <row r="53" spans="2:38" ht="18.75" customHeight="1">
      <c r="B53" s="18" t="s">
        <v>131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</row>
    <row r="54" spans="2:38" ht="18.75" customHeight="1">
      <c r="B54" s="89" t="s">
        <v>127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</row>
    <row r="55" spans="2:38" ht="19.5" customHeight="1">
      <c r="B55" s="153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R18"/>
  <sheetViews>
    <sheetView showGridLines="0" zoomScale="80" zoomScaleNormal="80" zoomScalePageLayoutView="150" workbookViewId="0">
      <pane xSplit="3" ySplit="9" topLeftCell="AE10" activePane="bottomRight" state="frozenSplit"/>
      <selection activeCell="E1" sqref="E1"/>
      <selection pane="topRight" activeCell="E1" sqref="E1"/>
      <selection pane="bottomLeft" activeCell="E1" sqref="E1"/>
      <selection pane="bottomRight"/>
    </sheetView>
  </sheetViews>
  <sheetFormatPr baseColWidth="10" defaultColWidth="11.42578125" defaultRowHeight="15" outlineLevelCol="1"/>
  <cols>
    <col min="1" max="1" width="5.42578125" style="39" customWidth="1"/>
    <col min="2" max="2" width="45.28515625" style="39" customWidth="1"/>
    <col min="3" max="3" width="57.5703125" style="39" customWidth="1"/>
    <col min="4" max="18" width="16.7109375" style="39" hidden="1" customWidth="1" outlineLevel="1"/>
    <col min="19" max="19" width="16.7109375" style="39" hidden="1" customWidth="1" outlineLevel="1" collapsed="1"/>
    <col min="20" max="22" width="16.7109375" style="39" hidden="1" customWidth="1" outlineLevel="1"/>
    <col min="23" max="23" width="13" style="39" hidden="1" customWidth="1" outlineLevel="1"/>
    <col min="24" max="24" width="16.7109375" style="39" customWidth="1" collapsed="1"/>
    <col min="25" max="32" width="16.7109375" style="39" customWidth="1"/>
    <col min="33" max="37" width="16.85546875" style="39" customWidth="1"/>
    <col min="38" max="38" width="16.7109375" style="39" customWidth="1"/>
    <col min="39" max="39" width="16.85546875" style="39" customWidth="1"/>
    <col min="40" max="40" width="16.7109375" style="39" customWidth="1"/>
    <col min="41" max="41" width="13.42578125" style="39" customWidth="1"/>
    <col min="42" max="42" width="13.42578125" style="39" hidden="1" customWidth="1" outlineLevel="1"/>
    <col min="43" max="43" width="16.7109375" style="39" hidden="1" customWidth="1" outlineLevel="1"/>
    <col min="44" max="44" width="11.42578125" style="39" collapsed="1"/>
    <col min="45" max="16384" width="11.42578125" style="39"/>
  </cols>
  <sheetData>
    <row r="1" spans="1:43" ht="28.5" customHeight="1">
      <c r="B1" s="113" t="s">
        <v>56</v>
      </c>
      <c r="C1" s="115" t="s">
        <v>55</v>
      </c>
      <c r="D1" s="108"/>
      <c r="E1" s="109"/>
      <c r="F1" s="109"/>
      <c r="G1" s="109"/>
      <c r="H1" s="109"/>
      <c r="I1" s="110"/>
      <c r="J1" s="110"/>
      <c r="K1" s="110"/>
      <c r="AG1" s="67"/>
      <c r="AH1" s="67"/>
      <c r="AI1" s="67"/>
      <c r="AJ1" s="67"/>
      <c r="AK1" s="67"/>
      <c r="AM1" s="38"/>
    </row>
    <row r="2" spans="1:43" ht="28.5" customHeight="1">
      <c r="B2" s="113" t="s">
        <v>54</v>
      </c>
      <c r="C2" s="115" t="s">
        <v>123</v>
      </c>
      <c r="D2" s="108"/>
      <c r="E2" s="109"/>
      <c r="F2" s="109"/>
      <c r="G2" s="109"/>
      <c r="H2" s="109"/>
      <c r="I2" s="110"/>
      <c r="J2" s="110"/>
      <c r="K2" s="110"/>
      <c r="AG2" s="67"/>
      <c r="AH2" s="67"/>
      <c r="AI2" s="67"/>
      <c r="AJ2" s="67"/>
      <c r="AK2" s="67"/>
    </row>
    <row r="3" spans="1:43" ht="28.5" customHeight="1">
      <c r="B3" s="113" t="s">
        <v>53</v>
      </c>
      <c r="C3" s="98">
        <f ca="1">TODAY()</f>
        <v>46093</v>
      </c>
      <c r="D3" s="108"/>
      <c r="E3" s="109"/>
      <c r="F3" s="109"/>
      <c r="G3" s="109"/>
      <c r="H3" s="109"/>
      <c r="I3" s="110"/>
      <c r="J3" s="110"/>
      <c r="K3" s="110"/>
      <c r="AG3" s="68"/>
      <c r="AH3" s="68"/>
      <c r="AI3" s="68"/>
      <c r="AJ3" s="68"/>
      <c r="AK3" s="68"/>
    </row>
    <row r="4" spans="1:43" ht="54" customHeight="1">
      <c r="B4" s="113" t="s">
        <v>52</v>
      </c>
      <c r="C4" s="115" t="s">
        <v>170</v>
      </c>
      <c r="D4" s="108"/>
      <c r="E4" s="109"/>
      <c r="F4" s="109"/>
      <c r="G4" s="109"/>
      <c r="H4" s="109"/>
      <c r="I4" s="110"/>
      <c r="J4" s="110"/>
      <c r="K4" s="110"/>
    </row>
    <row r="5" spans="1:43" ht="28.5" customHeight="1">
      <c r="B5" s="113" t="s">
        <v>51</v>
      </c>
      <c r="C5" s="115" t="s">
        <v>64</v>
      </c>
      <c r="D5" s="108"/>
      <c r="E5" s="109"/>
      <c r="F5" s="109"/>
      <c r="G5" s="109"/>
      <c r="H5" s="109"/>
      <c r="I5" s="110"/>
      <c r="J5" s="110"/>
      <c r="K5" s="110"/>
    </row>
    <row r="6" spans="1:43" ht="28.5" customHeight="1">
      <c r="B6" s="114" t="s">
        <v>50</v>
      </c>
      <c r="C6" s="115" t="s">
        <v>49</v>
      </c>
      <c r="D6" s="111"/>
      <c r="E6" s="112"/>
      <c r="F6" s="112"/>
      <c r="G6" s="112"/>
      <c r="H6" s="112"/>
      <c r="I6" s="110"/>
      <c r="J6" s="110"/>
      <c r="K6" s="110"/>
      <c r="AG6" s="67"/>
      <c r="AH6" s="67"/>
      <c r="AI6" s="67"/>
      <c r="AJ6" s="67"/>
      <c r="AK6" s="67"/>
    </row>
    <row r="7" spans="1:43" ht="22.5" customHeight="1"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G7" s="69"/>
      <c r="AH7" s="69"/>
      <c r="AI7" s="69"/>
      <c r="AJ7" s="69"/>
      <c r="AK7" s="69"/>
      <c r="AM7" s="69"/>
      <c r="AN7" s="69"/>
      <c r="AO7" s="69"/>
      <c r="AP7" s="69"/>
      <c r="AQ7" s="69"/>
    </row>
    <row r="8" spans="1:43" ht="22.5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G8" s="67"/>
      <c r="AH8" s="67"/>
      <c r="AI8" s="67"/>
      <c r="AJ8" s="67"/>
      <c r="AK8" s="67"/>
      <c r="AM8" s="69"/>
      <c r="AN8" s="69"/>
      <c r="AO8" s="69"/>
      <c r="AP8" s="69"/>
      <c r="AQ8" s="69"/>
    </row>
    <row r="9" spans="1:43" ht="33.75" customHeight="1">
      <c r="B9" s="70" t="s">
        <v>73</v>
      </c>
      <c r="C9" s="70"/>
      <c r="D9" s="71">
        <v>1990</v>
      </c>
      <c r="E9" s="70">
        <v>1991</v>
      </c>
      <c r="F9" s="71">
        <v>1992</v>
      </c>
      <c r="G9" s="70">
        <v>1993</v>
      </c>
      <c r="H9" s="71">
        <v>1994</v>
      </c>
      <c r="I9" s="70">
        <v>1995</v>
      </c>
      <c r="J9" s="71">
        <v>1996</v>
      </c>
      <c r="K9" s="70">
        <v>1997</v>
      </c>
      <c r="L9" s="71">
        <v>1998</v>
      </c>
      <c r="M9" s="70">
        <v>1999</v>
      </c>
      <c r="N9" s="71">
        <v>2000</v>
      </c>
      <c r="O9" s="70">
        <v>2001</v>
      </c>
      <c r="P9" s="71">
        <v>2002</v>
      </c>
      <c r="Q9" s="70">
        <v>2003</v>
      </c>
      <c r="R9" s="71">
        <v>2004</v>
      </c>
      <c r="S9" s="70">
        <v>2005</v>
      </c>
      <c r="T9" s="71">
        <v>2006</v>
      </c>
      <c r="U9" s="70">
        <v>2007</v>
      </c>
      <c r="V9" s="71">
        <v>2008</v>
      </c>
      <c r="W9" s="70">
        <v>2009</v>
      </c>
      <c r="X9" s="71">
        <v>2010</v>
      </c>
      <c r="Y9" s="70">
        <v>2011</v>
      </c>
      <c r="Z9" s="71">
        <v>2012</v>
      </c>
      <c r="AA9" s="70">
        <v>2013</v>
      </c>
      <c r="AB9" s="71">
        <v>2014</v>
      </c>
      <c r="AC9" s="70">
        <v>2015</v>
      </c>
      <c r="AD9" s="71">
        <v>2016</v>
      </c>
      <c r="AE9" s="70">
        <v>2017</v>
      </c>
      <c r="AF9" s="71">
        <v>2018</v>
      </c>
      <c r="AG9" s="71">
        <v>2019</v>
      </c>
      <c r="AH9" s="71">
        <v>2020</v>
      </c>
      <c r="AI9" s="71">
        <v>2021</v>
      </c>
      <c r="AJ9" s="71">
        <v>2022</v>
      </c>
      <c r="AK9" s="71">
        <v>2023</v>
      </c>
      <c r="AL9" s="71">
        <v>2024</v>
      </c>
      <c r="AM9" s="71" t="s">
        <v>193</v>
      </c>
      <c r="AN9" s="71"/>
      <c r="AO9" s="71" t="s">
        <v>97</v>
      </c>
      <c r="AP9" s="71"/>
      <c r="AQ9" s="71" t="s">
        <v>74</v>
      </c>
    </row>
    <row r="10" spans="1:43" ht="18.75" customHeight="1">
      <c r="A10" s="226"/>
      <c r="B10" s="102" t="s">
        <v>41</v>
      </c>
      <c r="C10" s="72"/>
      <c r="D10" s="73">
        <f>THG!C9/1000</f>
        <v>474.77680337871828</v>
      </c>
      <c r="E10" s="73">
        <f>THG!D9/1000</f>
        <v>459.94969694106851</v>
      </c>
      <c r="F10" s="73">
        <f>THG!E9/1000</f>
        <v>435.6798886223163</v>
      </c>
      <c r="G10" s="73">
        <f>THG!F9/1000</f>
        <v>425.92986593222639</v>
      </c>
      <c r="H10" s="73">
        <f>THG!G9/1000</f>
        <v>420.01911236192666</v>
      </c>
      <c r="I10" s="73">
        <f>THG!H9/1000</f>
        <v>406.94080164079946</v>
      </c>
      <c r="J10" s="73">
        <f>THG!I9/1000</f>
        <v>412.87698466710913</v>
      </c>
      <c r="K10" s="73">
        <f>THG!J9/1000</f>
        <v>391.01389023175915</v>
      </c>
      <c r="L10" s="73">
        <f>THG!K9/1000</f>
        <v>390.96433555439626</v>
      </c>
      <c r="M10" s="73">
        <f>THG!L9/1000</f>
        <v>379.99262346413963</v>
      </c>
      <c r="N10" s="73">
        <f>THG!M9/1000</f>
        <v>390.84830928828632</v>
      </c>
      <c r="O10" s="73">
        <f>THG!N9/1000</f>
        <v>400.84600433636973</v>
      </c>
      <c r="P10" s="73">
        <f>THG!O9/1000</f>
        <v>400.96086881352034</v>
      </c>
      <c r="Q10" s="73">
        <f>THG!P9/1000</f>
        <v>416.9776241487674</v>
      </c>
      <c r="R10" s="73">
        <f>THG!Q9/1000</f>
        <v>411.59629070904117</v>
      </c>
      <c r="S10" s="73">
        <f>THG!R9/1000</f>
        <v>402.60487927863363</v>
      </c>
      <c r="T10" s="73">
        <f>THG!S9/1000</f>
        <v>403.12684418138343</v>
      </c>
      <c r="U10" s="73">
        <f>THG!T9/1000</f>
        <v>405.77941336919014</v>
      </c>
      <c r="V10" s="73">
        <f>THG!U9/1000</f>
        <v>388.02036403583628</v>
      </c>
      <c r="W10" s="73">
        <f>THG!V9/1000</f>
        <v>362.05252022394586</v>
      </c>
      <c r="X10" s="73">
        <f>THG!W9/1000</f>
        <v>372.58877733130129</v>
      </c>
      <c r="Y10" s="73">
        <f>THG!X9/1000</f>
        <v>367.93689474418659</v>
      </c>
      <c r="Z10" s="73">
        <f>THG!Y9/1000</f>
        <v>379.78397467371877</v>
      </c>
      <c r="AA10" s="73">
        <f>THG!Z9/1000</f>
        <v>384.36839643022091</v>
      </c>
      <c r="AB10" s="73">
        <f>THG!AA9/1000</f>
        <v>363.02210331471542</v>
      </c>
      <c r="AC10" s="73">
        <f>THG!AB9/1000</f>
        <v>351.6921278761219</v>
      </c>
      <c r="AD10" s="73">
        <f>THG!AC9/1000</f>
        <v>346.38866096609632</v>
      </c>
      <c r="AE10" s="73">
        <f>THG!AD9/1000</f>
        <v>326.85620346245787</v>
      </c>
      <c r="AF10" s="73">
        <f>THG!AE9/1000</f>
        <v>311.70204315861605</v>
      </c>
      <c r="AG10" s="73">
        <f>THG!AF9/1000</f>
        <v>259.17761168640862</v>
      </c>
      <c r="AH10" s="73">
        <f>THG!AG9/1000</f>
        <v>220.09520850316858</v>
      </c>
      <c r="AI10" s="73">
        <f>THG!AH9/1000</f>
        <v>247.78248387902258</v>
      </c>
      <c r="AJ10" s="73">
        <f>THG!AI9/1000</f>
        <v>258.06791392407115</v>
      </c>
      <c r="AK10" s="73">
        <f>THG!AJ9/1000</f>
        <v>204.82888876446282</v>
      </c>
      <c r="AL10" s="73">
        <f>THG!AK9/1000</f>
        <v>189.69859171527955</v>
      </c>
      <c r="AM10" s="218">
        <f>THG!AL9/1000</f>
        <v>189.08795293816465</v>
      </c>
      <c r="AN10" s="73"/>
      <c r="AO10" s="137">
        <v>108</v>
      </c>
      <c r="AP10" s="73"/>
      <c r="AQ10" s="73"/>
    </row>
    <row r="11" spans="1:43" ht="18.75" customHeight="1">
      <c r="A11" s="226"/>
      <c r="B11" s="103" t="s">
        <v>42</v>
      </c>
      <c r="C11" s="74"/>
      <c r="D11" s="75">
        <f>THG!C14/1000</f>
        <v>277.64153683104769</v>
      </c>
      <c r="E11" s="75">
        <f>THG!D14/1000</f>
        <v>252.31426791676498</v>
      </c>
      <c r="F11" s="75">
        <f>THG!E14/1000</f>
        <v>241.00479582556795</v>
      </c>
      <c r="G11" s="75">
        <f>THG!F14/1000</f>
        <v>231.28309083618817</v>
      </c>
      <c r="H11" s="75">
        <f>THG!G14/1000</f>
        <v>234.84056647210426</v>
      </c>
      <c r="I11" s="75">
        <f>THG!H14/1000</f>
        <v>236.72099089581363</v>
      </c>
      <c r="J11" s="75">
        <f>THG!I14/1000</f>
        <v>225.51280886653191</v>
      </c>
      <c r="K11" s="75">
        <f>THG!J14/1000</f>
        <v>230.06561894107443</v>
      </c>
      <c r="L11" s="75">
        <f>THG!K14/1000</f>
        <v>213.08845530491044</v>
      </c>
      <c r="M11" s="75">
        <f>THG!L14/1000</f>
        <v>202.99932817482778</v>
      </c>
      <c r="N11" s="75">
        <f>THG!M14/1000</f>
        <v>202.49348842715295</v>
      </c>
      <c r="O11" s="75">
        <f>THG!N14/1000</f>
        <v>191.95188884084277</v>
      </c>
      <c r="P11" s="75">
        <f>THG!O14/1000</f>
        <v>189.74193117948465</v>
      </c>
      <c r="Q11" s="75">
        <f>THG!P14/1000</f>
        <v>189.05979832589014</v>
      </c>
      <c r="R11" s="75">
        <f>THG!Q14/1000</f>
        <v>189.06111663462431</v>
      </c>
      <c r="S11" s="75">
        <f>THG!R14/1000</f>
        <v>186.27827466313215</v>
      </c>
      <c r="T11" s="75">
        <f>THG!S14/1000</f>
        <v>190.83887444737042</v>
      </c>
      <c r="U11" s="75">
        <f>THG!T14/1000</f>
        <v>198.98082880893148</v>
      </c>
      <c r="V11" s="75">
        <f>THG!U14/1000</f>
        <v>195.50287698129108</v>
      </c>
      <c r="W11" s="75">
        <f>THG!V14/1000</f>
        <v>169.8627423092137</v>
      </c>
      <c r="X11" s="75">
        <f>THG!W14/1000</f>
        <v>183.72861264169111</v>
      </c>
      <c r="Y11" s="75">
        <f>THG!X14/1000</f>
        <v>181.73545932119652</v>
      </c>
      <c r="Z11" s="75">
        <f>THG!Y14/1000</f>
        <v>176.98806789199159</v>
      </c>
      <c r="AA11" s="75">
        <f>THG!Z14/1000</f>
        <v>176.90691866347069</v>
      </c>
      <c r="AB11" s="75">
        <f>THG!AA14/1000</f>
        <v>176.05277993746981</v>
      </c>
      <c r="AC11" s="75">
        <f>THG!AB14/1000</f>
        <v>182.8789630987412</v>
      </c>
      <c r="AD11" s="75">
        <f>THG!AC14/1000</f>
        <v>186.57138369634714</v>
      </c>
      <c r="AE11" s="75">
        <f>THG!AD14/1000</f>
        <v>192.30405291449762</v>
      </c>
      <c r="AF11" s="75">
        <f>THG!AE14/1000</f>
        <v>184.73248464085813</v>
      </c>
      <c r="AG11" s="75">
        <f>THG!AF14/1000</f>
        <v>179.00608427761014</v>
      </c>
      <c r="AH11" s="75">
        <f>THG!AG14/1000</f>
        <v>172.32714236985967</v>
      </c>
      <c r="AI11" s="75">
        <f>THG!AH14/1000</f>
        <v>180.07211795118846</v>
      </c>
      <c r="AJ11" s="75">
        <f>THG!AI14/1000</f>
        <v>164.24562316678845</v>
      </c>
      <c r="AK11" s="75">
        <f>THG!AJ14/1000</f>
        <v>149.71988883248548</v>
      </c>
      <c r="AL11" s="75">
        <f>THG!AK14/1000</f>
        <v>149.76712492260268</v>
      </c>
      <c r="AM11" s="219">
        <f>THG!AL14/1000</f>
        <v>144.14168907995369</v>
      </c>
      <c r="AN11" s="75"/>
      <c r="AO11" s="138">
        <v>118</v>
      </c>
      <c r="AP11" s="75"/>
      <c r="AQ11" s="75"/>
    </row>
    <row r="12" spans="1:43" ht="18.75" customHeight="1">
      <c r="A12" s="226"/>
      <c r="B12" s="102" t="s">
        <v>48</v>
      </c>
      <c r="C12" s="72"/>
      <c r="D12" s="73">
        <f>THG!C21/1000</f>
        <v>210.02718395860447</v>
      </c>
      <c r="E12" s="73">
        <f>THG!D21/1000</f>
        <v>208.43218191371491</v>
      </c>
      <c r="F12" s="73">
        <f>THG!E21/1000</f>
        <v>190.27745833234601</v>
      </c>
      <c r="G12" s="73">
        <f>THG!F21/1000</f>
        <v>197.00598901780018</v>
      </c>
      <c r="H12" s="73">
        <f>THG!G21/1000</f>
        <v>186.22455899557067</v>
      </c>
      <c r="I12" s="73">
        <f>THG!H21/1000</f>
        <v>187.71103813361719</v>
      </c>
      <c r="J12" s="73">
        <f>THG!I21/1000</f>
        <v>210.88461571151709</v>
      </c>
      <c r="K12" s="73">
        <f>THG!J21/1000</f>
        <v>197.65422637239175</v>
      </c>
      <c r="L12" s="73">
        <f>THG!K21/1000</f>
        <v>189.51066137449766</v>
      </c>
      <c r="M12" s="73">
        <f>THG!L21/1000</f>
        <v>172.83128623370749</v>
      </c>
      <c r="N12" s="73">
        <f>THG!M21/1000</f>
        <v>166.7892327464798</v>
      </c>
      <c r="O12" s="73">
        <f>THG!N21/1000</f>
        <v>187.07921984220835</v>
      </c>
      <c r="P12" s="73">
        <f>THG!O21/1000</f>
        <v>174.08060753960373</v>
      </c>
      <c r="Q12" s="73">
        <f>THG!P21/1000</f>
        <v>164.26662697284269</v>
      </c>
      <c r="R12" s="73">
        <f>THG!Q21/1000</f>
        <v>152.47315960192765</v>
      </c>
      <c r="S12" s="73">
        <f>THG!R21/1000</f>
        <v>151.28573283419718</v>
      </c>
      <c r="T12" s="73">
        <f>THG!S21/1000</f>
        <v>160.69538252059579</v>
      </c>
      <c r="U12" s="73">
        <f>THG!T21/1000</f>
        <v>122.28272021639604</v>
      </c>
      <c r="V12" s="73">
        <f>THG!U21/1000</f>
        <v>147.3433577831774</v>
      </c>
      <c r="W12" s="73">
        <f>THG!V21/1000</f>
        <v>137.06661941838667</v>
      </c>
      <c r="X12" s="73">
        <f>THG!W21/1000</f>
        <v>145.03437013705775</v>
      </c>
      <c r="Y12" s="73">
        <f>THG!X21/1000</f>
        <v>124.85841015963605</v>
      </c>
      <c r="Z12" s="73">
        <f>THG!Y21/1000</f>
        <v>129.5906503449369</v>
      </c>
      <c r="AA12" s="73">
        <f>THG!Z21/1000</f>
        <v>140.24088491850219</v>
      </c>
      <c r="AB12" s="73">
        <f>THG!AA21/1000</f>
        <v>118.63645805072534</v>
      </c>
      <c r="AC12" s="73">
        <f>THG!AB21/1000</f>
        <v>124.78356999675545</v>
      </c>
      <c r="AD12" s="73">
        <f>THG!AC21/1000</f>
        <v>124.1617541317565</v>
      </c>
      <c r="AE12" s="73">
        <f>THG!AD21/1000</f>
        <v>122.98235301164566</v>
      </c>
      <c r="AF12" s="73">
        <f>THG!AE21/1000</f>
        <v>117.68587978898627</v>
      </c>
      <c r="AG12" s="73">
        <f>THG!AF21/1000</f>
        <v>123.48208895026859</v>
      </c>
      <c r="AH12" s="73">
        <f>THG!AG21/1000</f>
        <v>121.56194533243483</v>
      </c>
      <c r="AI12" s="73">
        <f>THG!AH21/1000</f>
        <v>117.95820040067062</v>
      </c>
      <c r="AJ12" s="73">
        <f>THG!AI21/1000</f>
        <v>111.31260961258033</v>
      </c>
      <c r="AK12" s="73">
        <f>THG!AJ21/1000</f>
        <v>102.3588389695604</v>
      </c>
      <c r="AL12" s="73">
        <f>THG!AK21/1000</f>
        <v>99.998028143157129</v>
      </c>
      <c r="AM12" s="218">
        <f>THG!AL21/1000</f>
        <v>103.36586664073803</v>
      </c>
      <c r="AN12" s="73"/>
      <c r="AO12" s="137">
        <v>67</v>
      </c>
      <c r="AP12" s="73"/>
      <c r="AQ12" s="73"/>
    </row>
    <row r="13" spans="1:43" ht="18.75" customHeight="1">
      <c r="A13" s="226"/>
      <c r="B13" s="103" t="s">
        <v>43</v>
      </c>
      <c r="C13" s="74"/>
      <c r="D13" s="75">
        <f>THG!C26/1000</f>
        <v>163.35536616760314</v>
      </c>
      <c r="E13" s="75">
        <f>THG!D26/1000</f>
        <v>166.30323762202707</v>
      </c>
      <c r="F13" s="75">
        <f>THG!E26/1000</f>
        <v>172.16792788304127</v>
      </c>
      <c r="G13" s="75">
        <f>THG!F26/1000</f>
        <v>176.49286454758715</v>
      </c>
      <c r="H13" s="75">
        <f>THG!G26/1000</f>
        <v>172.46321860050696</v>
      </c>
      <c r="I13" s="75">
        <f>THG!H26/1000</f>
        <v>176.12248168420376</v>
      </c>
      <c r="J13" s="75">
        <f>THG!I26/1000</f>
        <v>175.70638359170007</v>
      </c>
      <c r="K13" s="75">
        <f>THG!J26/1000</f>
        <v>176.12093158889891</v>
      </c>
      <c r="L13" s="75">
        <f>THG!K26/1000</f>
        <v>179.39653596171186</v>
      </c>
      <c r="M13" s="75">
        <f>THG!L26/1000</f>
        <v>184.52966219477804</v>
      </c>
      <c r="N13" s="75">
        <f>THG!M26/1000</f>
        <v>180.58638520062698</v>
      </c>
      <c r="O13" s="75">
        <f>THG!N26/1000</f>
        <v>176.69377167274567</v>
      </c>
      <c r="P13" s="75">
        <f>THG!O26/1000</f>
        <v>174.18331703402407</v>
      </c>
      <c r="Q13" s="75">
        <f>THG!P26/1000</f>
        <v>167.44153572815895</v>
      </c>
      <c r="R13" s="75">
        <f>THG!Q26/1000</f>
        <v>167.35069391533409</v>
      </c>
      <c r="S13" s="75">
        <f>THG!R26/1000</f>
        <v>160.70050537524637</v>
      </c>
      <c r="T13" s="75">
        <f>THG!S26/1000</f>
        <v>161.88145271585884</v>
      </c>
      <c r="U13" s="75">
        <f>THG!T26/1000</f>
        <v>152.0726211008666</v>
      </c>
      <c r="V13" s="75">
        <f>THG!U26/1000</f>
        <v>151.65221981268371</v>
      </c>
      <c r="W13" s="75">
        <f>THG!V26/1000</f>
        <v>151.25592402333035</v>
      </c>
      <c r="X13" s="75">
        <f>THG!W26/1000</f>
        <v>151.91064588226837</v>
      </c>
      <c r="Y13" s="75">
        <f>THG!X26/1000</f>
        <v>153.56095097371428</v>
      </c>
      <c r="Z13" s="75">
        <f>THG!Y26/1000</f>
        <v>152.08618806966663</v>
      </c>
      <c r="AA13" s="75">
        <f>THG!Z26/1000</f>
        <v>156.03311623669646</v>
      </c>
      <c r="AB13" s="75">
        <f>THG!AA26/1000</f>
        <v>157.63757298831274</v>
      </c>
      <c r="AC13" s="75">
        <f>THG!AB26/1000</f>
        <v>161.09044280870424</v>
      </c>
      <c r="AD13" s="75">
        <f>THG!AC26/1000</f>
        <v>163.8923928993205</v>
      </c>
      <c r="AE13" s="75">
        <f>THG!AD26/1000</f>
        <v>167.27937411929673</v>
      </c>
      <c r="AF13" s="75">
        <f>THG!AE26/1000</f>
        <v>162.63734410803056</v>
      </c>
      <c r="AG13" s="75">
        <f>THG!AF26/1000</f>
        <v>163.62252220400541</v>
      </c>
      <c r="AH13" s="75">
        <f>THG!AG26/1000</f>
        <v>145.89515044332205</v>
      </c>
      <c r="AI13" s="75">
        <f>THG!AH26/1000</f>
        <v>146.81228818570358</v>
      </c>
      <c r="AJ13" s="75">
        <f>THG!AI26/1000</f>
        <v>148.07028751224166</v>
      </c>
      <c r="AK13" s="75">
        <f>THG!AJ26/1000</f>
        <v>144.47872767333922</v>
      </c>
      <c r="AL13" s="75">
        <f>THG!AK26/1000</f>
        <v>144.18232724657935</v>
      </c>
      <c r="AM13" s="219">
        <f>THG!AL26/1000</f>
        <v>146.30515581176434</v>
      </c>
      <c r="AN13" s="75"/>
      <c r="AO13" s="138">
        <v>85</v>
      </c>
      <c r="AP13" s="75"/>
      <c r="AQ13" s="75"/>
    </row>
    <row r="14" spans="1:43" ht="18.75" customHeight="1">
      <c r="A14" s="226"/>
      <c r="B14" s="102" t="s">
        <v>44</v>
      </c>
      <c r="C14" s="72"/>
      <c r="D14" s="73">
        <f>THG!C32/1000</f>
        <v>85.776819711507855</v>
      </c>
      <c r="E14" s="73">
        <f>THG!D32/1000</f>
        <v>76.296539535954849</v>
      </c>
      <c r="F14" s="73">
        <f>THG!E32/1000</f>
        <v>75.156390526450338</v>
      </c>
      <c r="G14" s="73">
        <f>THG!F32/1000</f>
        <v>74.360189429137563</v>
      </c>
      <c r="H14" s="73">
        <f>THG!G32/1000</f>
        <v>74.934669624752772</v>
      </c>
      <c r="I14" s="73">
        <f>THG!H32/1000</f>
        <v>74.844108020139714</v>
      </c>
      <c r="J14" s="73">
        <f>THG!I32/1000</f>
        <v>75.949608979255302</v>
      </c>
      <c r="K14" s="73">
        <f>THG!J32/1000</f>
        <v>73.963672982207967</v>
      </c>
      <c r="L14" s="73">
        <f>THG!K32/1000</f>
        <v>73.589188781903005</v>
      </c>
      <c r="M14" s="73">
        <f>THG!L32/1000</f>
        <v>73.737611685089547</v>
      </c>
      <c r="N14" s="73">
        <f>THG!M32/1000</f>
        <v>72.708344376258566</v>
      </c>
      <c r="O14" s="73">
        <f>THG!N32/1000</f>
        <v>72.942642855525463</v>
      </c>
      <c r="P14" s="73">
        <f>THG!O32/1000</f>
        <v>71.843233178534277</v>
      </c>
      <c r="Q14" s="73">
        <f>THG!P32/1000</f>
        <v>68.730903151505345</v>
      </c>
      <c r="R14" s="73">
        <f>THG!Q32/1000</f>
        <v>68.705847786067395</v>
      </c>
      <c r="S14" s="73">
        <f>THG!R32/1000</f>
        <v>68.247440802044238</v>
      </c>
      <c r="T14" s="73">
        <f>THG!S32/1000</f>
        <v>67.698143210464181</v>
      </c>
      <c r="U14" s="73">
        <f>THG!T32/1000</f>
        <v>68.15851249666045</v>
      </c>
      <c r="V14" s="73">
        <f>THG!U32/1000</f>
        <v>67.567024212692885</v>
      </c>
      <c r="W14" s="73">
        <f>THG!V32/1000</f>
        <v>67.601242753802921</v>
      </c>
      <c r="X14" s="73">
        <f>THG!W32/1000</f>
        <v>67.795567311718315</v>
      </c>
      <c r="Y14" s="73">
        <f>THG!X32/1000</f>
        <v>68.214170448732247</v>
      </c>
      <c r="Z14" s="73">
        <f>THG!Y32/1000</f>
        <v>68.013050823684907</v>
      </c>
      <c r="AA14" s="73">
        <f>THG!Z32/1000</f>
        <v>69.373201402205154</v>
      </c>
      <c r="AB14" s="73">
        <f>THG!AA32/1000</f>
        <v>70.820628331803888</v>
      </c>
      <c r="AC14" s="73">
        <f>THG!AB32/1000</f>
        <v>69.717072689616643</v>
      </c>
      <c r="AD14" s="73">
        <f>THG!AC32/1000</f>
        <v>70.111547703125282</v>
      </c>
      <c r="AE14" s="73">
        <f>THG!AD32/1000</f>
        <v>69.331952256734809</v>
      </c>
      <c r="AF14" s="73">
        <f>THG!AE32/1000</f>
        <v>66.245973720612625</v>
      </c>
      <c r="AG14" s="73">
        <f>THG!AF32/1000</f>
        <v>66.105897936157163</v>
      </c>
      <c r="AH14" s="73">
        <f>THG!AG32/1000</f>
        <v>64.97468939242593</v>
      </c>
      <c r="AI14" s="73">
        <f>THG!AH32/1000</f>
        <v>64.238336695656002</v>
      </c>
      <c r="AJ14" s="73">
        <f>THG!AI32/1000</f>
        <v>61.920176584801617</v>
      </c>
      <c r="AK14" s="73">
        <f>THG!AJ32/1000</f>
        <v>62.74273533616168</v>
      </c>
      <c r="AL14" s="73">
        <f>THG!AK32/1000</f>
        <v>60.846136464729106</v>
      </c>
      <c r="AM14" s="218">
        <f>THG!AL32/1000</f>
        <v>60.842481207611776</v>
      </c>
      <c r="AN14" s="73"/>
      <c r="AO14" s="137">
        <v>56</v>
      </c>
      <c r="AP14" s="73"/>
      <c r="AQ14" s="73"/>
    </row>
    <row r="15" spans="1:43" ht="18.75" customHeight="1">
      <c r="A15" s="226"/>
      <c r="B15" s="103" t="s">
        <v>47</v>
      </c>
      <c r="C15" s="74"/>
      <c r="D15" s="75">
        <f>THG!C42/1000</f>
        <v>41.550208209684953</v>
      </c>
      <c r="E15" s="75">
        <f>THG!D42/1000</f>
        <v>43.096386910464247</v>
      </c>
      <c r="F15" s="75">
        <f>THG!E42/1000</f>
        <v>43.690552789579272</v>
      </c>
      <c r="G15" s="75">
        <f>THG!F42/1000</f>
        <v>43.410594571395734</v>
      </c>
      <c r="H15" s="75">
        <f>THG!G42/1000</f>
        <v>42.331817932506027</v>
      </c>
      <c r="I15" s="75">
        <f>THG!H42/1000</f>
        <v>41.064653718503017</v>
      </c>
      <c r="J15" s="75">
        <f>THG!I42/1000</f>
        <v>39.269523659810076</v>
      </c>
      <c r="K15" s="75">
        <f>THG!J42/1000</f>
        <v>35.964229901993093</v>
      </c>
      <c r="L15" s="75">
        <f>THG!K42/1000</f>
        <v>33.433339536685175</v>
      </c>
      <c r="M15" s="75">
        <f>THG!L42/1000</f>
        <v>31.44701707691074</v>
      </c>
      <c r="N15" s="75">
        <f>THG!M42/1000</f>
        <v>29.572460032452174</v>
      </c>
      <c r="O15" s="75">
        <f>THG!N42/1000</f>
        <v>27.56882034829254</v>
      </c>
      <c r="P15" s="75">
        <f>THG!O42/1000</f>
        <v>25.848040379858077</v>
      </c>
      <c r="Q15" s="75">
        <f>THG!P42/1000</f>
        <v>24.062269037338847</v>
      </c>
      <c r="R15" s="75">
        <f>THG!Q42/1000</f>
        <v>21.489217535313593</v>
      </c>
      <c r="S15" s="75">
        <f>THG!R42/1000</f>
        <v>19.830658338951437</v>
      </c>
      <c r="T15" s="75">
        <f>THG!S42/1000</f>
        <v>17.758310821011335</v>
      </c>
      <c r="U15" s="75">
        <f>THG!T42/1000</f>
        <v>16.236759090921446</v>
      </c>
      <c r="V15" s="75">
        <f>THG!U42/1000</f>
        <v>14.839270182314303</v>
      </c>
      <c r="W15" s="75">
        <f>THG!V42/1000</f>
        <v>13.445488095760965</v>
      </c>
      <c r="X15" s="75">
        <f>THG!W42/1000</f>
        <v>12.191951804297188</v>
      </c>
      <c r="Y15" s="75">
        <f>THG!X42/1000</f>
        <v>11.309311816960442</v>
      </c>
      <c r="Z15" s="75">
        <f>THG!Y42/1000</f>
        <v>10.483453341628131</v>
      </c>
      <c r="AA15" s="75">
        <f>THG!Z42/1000</f>
        <v>9.6877307795879641</v>
      </c>
      <c r="AB15" s="75">
        <f>THG!AA42/1000</f>
        <v>9.0623234858736179</v>
      </c>
      <c r="AC15" s="75">
        <f>THG!AB42/1000</f>
        <v>8.4434764284048285</v>
      </c>
      <c r="AD15" s="75">
        <f>THG!AC42/1000</f>
        <v>7.9043758078951205</v>
      </c>
      <c r="AE15" s="75">
        <f>THG!AD42/1000</f>
        <v>7.5258270473799262</v>
      </c>
      <c r="AF15" s="75">
        <f>THG!AE42/1000</f>
        <v>7.1312752606933367</v>
      </c>
      <c r="AG15" s="75">
        <f>THG!AF42/1000</f>
        <v>6.606323665599354</v>
      </c>
      <c r="AH15" s="75">
        <f>THG!AG42/1000</f>
        <v>6.1182356179770174</v>
      </c>
      <c r="AI15" s="75">
        <f>THG!AH42/1000</f>
        <v>5.9092398257029579</v>
      </c>
      <c r="AJ15" s="75">
        <f>THG!AI42/1000</f>
        <v>5.6498133677704585</v>
      </c>
      <c r="AK15" s="75">
        <f>THG!AJ42/1000</f>
        <v>5.4492808878491443</v>
      </c>
      <c r="AL15" s="75">
        <f>THG!AK42/1000</f>
        <v>5.2773098996146075</v>
      </c>
      <c r="AM15" s="219">
        <f>THG!AL42/1000</f>
        <v>5.1234909507111492</v>
      </c>
      <c r="AN15" s="75"/>
      <c r="AO15" s="138">
        <v>4</v>
      </c>
      <c r="AP15" s="75"/>
      <c r="AQ15" s="75"/>
    </row>
    <row r="16" spans="1:43" s="36" customFormat="1" ht="18.75" customHeight="1">
      <c r="A16" s="226"/>
      <c r="B16" s="105" t="s">
        <v>46</v>
      </c>
      <c r="C16" s="106"/>
      <c r="D16" s="107">
        <f t="shared" ref="D16:W16" si="0">SUM(D10:D15)</f>
        <v>1253.1279182571666</v>
      </c>
      <c r="E16" s="107">
        <f t="shared" si="0"/>
        <v>1206.3923108399945</v>
      </c>
      <c r="F16" s="107">
        <f t="shared" si="0"/>
        <v>1157.9770139793011</v>
      </c>
      <c r="G16" s="107">
        <f t="shared" si="0"/>
        <v>1148.4825943343351</v>
      </c>
      <c r="H16" s="107">
        <f t="shared" si="0"/>
        <v>1130.8139439873673</v>
      </c>
      <c r="I16" s="107">
        <f t="shared" si="0"/>
        <v>1123.4040740930768</v>
      </c>
      <c r="J16" s="107">
        <f t="shared" si="0"/>
        <v>1140.1999254759237</v>
      </c>
      <c r="K16" s="107">
        <f t="shared" si="0"/>
        <v>1104.7825700183253</v>
      </c>
      <c r="L16" s="107">
        <f t="shared" si="0"/>
        <v>1079.9825165141044</v>
      </c>
      <c r="M16" s="107">
        <f t="shared" si="0"/>
        <v>1045.5375288294533</v>
      </c>
      <c r="N16" s="107">
        <f t="shared" si="0"/>
        <v>1042.9982200712568</v>
      </c>
      <c r="O16" s="107">
        <f t="shared" si="0"/>
        <v>1057.0823478959844</v>
      </c>
      <c r="P16" s="107">
        <f t="shared" si="0"/>
        <v>1036.6579981250252</v>
      </c>
      <c r="Q16" s="107">
        <f t="shared" si="0"/>
        <v>1030.5387573645035</v>
      </c>
      <c r="R16" s="107">
        <f t="shared" si="0"/>
        <v>1010.6763261823081</v>
      </c>
      <c r="S16" s="107">
        <f t="shared" si="0"/>
        <v>988.9474912922052</v>
      </c>
      <c r="T16" s="107">
        <f t="shared" si="0"/>
        <v>1001.999007896684</v>
      </c>
      <c r="U16" s="107">
        <f t="shared" si="0"/>
        <v>963.51085508296615</v>
      </c>
      <c r="V16" s="107">
        <f t="shared" si="0"/>
        <v>964.92511300799561</v>
      </c>
      <c r="W16" s="107">
        <f t="shared" si="0"/>
        <v>901.28453682444058</v>
      </c>
      <c r="X16" s="107">
        <f t="shared" ref="X16:AF16" si="1">SUM(X10:X15)</f>
        <v>933.24992510833397</v>
      </c>
      <c r="Y16" s="107">
        <f t="shared" si="1"/>
        <v>907.61519746442616</v>
      </c>
      <c r="Z16" s="107">
        <f t="shared" si="1"/>
        <v>916.9453851456268</v>
      </c>
      <c r="AA16" s="107">
        <f t="shared" si="1"/>
        <v>936.61024843068321</v>
      </c>
      <c r="AB16" s="107">
        <f t="shared" si="1"/>
        <v>895.23186610890082</v>
      </c>
      <c r="AC16" s="107">
        <f t="shared" si="1"/>
        <v>898.60565289834415</v>
      </c>
      <c r="AD16" s="107">
        <f t="shared" si="1"/>
        <v>899.03011520454095</v>
      </c>
      <c r="AE16" s="107">
        <f t="shared" si="1"/>
        <v>886.27976281201245</v>
      </c>
      <c r="AF16" s="107">
        <f t="shared" si="1"/>
        <v>850.13500067779694</v>
      </c>
      <c r="AG16" s="107">
        <f t="shared" ref="AG16" si="2">SUM(AG10:AG15)</f>
        <v>798.00052872004926</v>
      </c>
      <c r="AH16" s="107">
        <f t="shared" ref="AH16:AI16" si="3">SUM(AH10:AH15)</f>
        <v>730.97237165918796</v>
      </c>
      <c r="AI16" s="107">
        <f t="shared" si="3"/>
        <v>762.77266693794411</v>
      </c>
      <c r="AJ16" s="107">
        <f t="shared" ref="AJ16" si="4">SUM(AJ10:AJ15)</f>
        <v>749.26642416825359</v>
      </c>
      <c r="AK16" s="107">
        <f t="shared" ref="AK16:AL16" si="5">SUM(AK10:AK15)</f>
        <v>669.57836046385864</v>
      </c>
      <c r="AL16" s="107">
        <f t="shared" si="5"/>
        <v>649.76951839196227</v>
      </c>
      <c r="AM16" s="220">
        <f t="shared" ref="AM16" si="6">SUM(AM10:AM15)</f>
        <v>648.86663662894364</v>
      </c>
      <c r="AN16" s="107"/>
      <c r="AO16" s="107">
        <f t="shared" ref="AO16" si="7">SUM(AO10:AO15)</f>
        <v>438</v>
      </c>
      <c r="AP16" s="107"/>
      <c r="AQ16" s="107"/>
    </row>
    <row r="17" spans="2:43" s="36" customFormat="1" ht="18.75" customHeight="1">
      <c r="B17" s="104" t="s">
        <v>45</v>
      </c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>
        <f>$D$16*0.05</f>
        <v>62.656395912858329</v>
      </c>
    </row>
    <row r="18" spans="2:43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9</vt:i4>
      </vt:variant>
    </vt:vector>
  </HeadingPairs>
  <TitlesOfParts>
    <vt:vector size="35" baseType="lpstr">
      <vt:lpstr>THG-Trends</vt:lpstr>
      <vt:lpstr>THG-Anteile</vt:lpstr>
      <vt:lpstr>THG kurz</vt:lpstr>
      <vt:lpstr>THG</vt:lpstr>
      <vt:lpstr>CO2</vt:lpstr>
      <vt:lpstr>CH4</vt:lpstr>
      <vt:lpstr>N2O</vt:lpstr>
      <vt:lpstr>F-Gase</vt:lpstr>
      <vt:lpstr>Daten Sektorgrafik</vt:lpstr>
      <vt:lpstr>Sektorgrafik UBA_CI</vt:lpstr>
      <vt:lpstr>Daten Zielpfadgrafik</vt:lpstr>
      <vt:lpstr>Grafik Zielpfad Sektoren</vt:lpstr>
      <vt:lpstr>Grafik Zielpfadänderung JEGM</vt:lpstr>
      <vt:lpstr>Daten Sektor Energiew.</vt:lpstr>
      <vt:lpstr>Grafik Sektor Energiew.</vt:lpstr>
      <vt:lpstr>Daten Sektor Industrie</vt:lpstr>
      <vt:lpstr>Grafik Sektor Industrie</vt:lpstr>
      <vt:lpstr>Daten Sektor Gebäude</vt:lpstr>
      <vt:lpstr>Grafik Sektor Gebäude</vt:lpstr>
      <vt:lpstr>Daten Sektor Verkehr</vt:lpstr>
      <vt:lpstr>Grafik Sektor Verkehr</vt:lpstr>
      <vt:lpstr>Daten Sektor Landwirtschaft</vt:lpstr>
      <vt:lpstr>Grafik Sektor Landwirtschaft</vt:lpstr>
      <vt:lpstr>Daten Sektor Abfallwirtschaft</vt:lpstr>
      <vt:lpstr>Grafik Sektor Abfallwirtschaft</vt:lpstr>
      <vt:lpstr>Unsicherheiten</vt:lpstr>
      <vt:lpstr>'CH4'!Druckbereich</vt:lpstr>
      <vt:lpstr>'CO2'!Druckbereich</vt:lpstr>
      <vt:lpstr>'F-Gase'!Druckbereich</vt:lpstr>
      <vt:lpstr>N2O!Druckbereich</vt:lpstr>
      <vt:lpstr>THG!Druckbereich</vt:lpstr>
      <vt:lpstr>'THG kurz'!Druckbereich</vt:lpstr>
      <vt:lpstr>'THG-Anteile'!Druckbereich</vt:lpstr>
      <vt:lpstr>'THG-Trends'!Druckbereich</vt:lpstr>
      <vt:lpstr>Unsicherheiten!Druckbereich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Vosen, Tobias</cp:lastModifiedBy>
  <dcterms:created xsi:type="dcterms:W3CDTF">2019-05-28T12:42:15Z</dcterms:created>
  <dcterms:modified xsi:type="dcterms:W3CDTF">2026-03-12T08:46:45Z</dcterms:modified>
</cp:coreProperties>
</file>