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8_RESSOURCEN-ABFALL\8-7_Verwert-Entsorg\8-7-7_Altbatterien\"/>
    </mc:Choice>
  </mc:AlternateContent>
  <xr:revisionPtr revIDLastSave="0" documentId="13_ncr:1_{23259D9D-C492-4C75-8371-93244FCA182A}" xr6:coauthVersionLast="36" xr6:coauthVersionMax="36" xr10:uidLastSave="{00000000-0000-0000-0000-000000000000}"/>
  <bookViews>
    <workbookView xWindow="960" yWindow="0" windowWidth="28800" windowHeight="14025" tabRatio="802" firstSheet="2" activeTab="3" xr2:uid="{00000000-000D-0000-FFFF-FFFF00000000}"/>
  </bookViews>
  <sheets>
    <sheet name="Vorberech-Verkehr_2013" sheetId="22" r:id="rId1"/>
    <sheet name="Vorberechn-Verkehr-2011" sheetId="19" state="hidden" r:id="rId2"/>
    <sheet name="Daten" sheetId="1" r:id="rId3"/>
    <sheet name="Diagramm" sheetId="17" r:id="rId4"/>
  </sheets>
  <externalReferences>
    <externalReference r:id="rId5"/>
    <externalReference r:id="rId6"/>
    <externalReference r:id="rId7"/>
  </externalReferences>
  <definedNames>
    <definedName name="Beschriftung">OFFSET(Daten!#REF!,0,0,COUNTA(Daten!#REF!),-1)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3">Diagramm!$B$1:$N$30</definedName>
  </definedNames>
  <calcPr calcId="191029"/>
</workbook>
</file>

<file path=xl/calcChain.xml><?xml version="1.0" encoding="utf-8"?>
<calcChain xmlns="http://schemas.openxmlformats.org/spreadsheetml/2006/main">
  <c r="E178" i="22" l="1"/>
  <c r="E177" i="22"/>
  <c r="E176" i="22"/>
  <c r="E175" i="22"/>
  <c r="D195" i="22" s="1"/>
  <c r="E174" i="22"/>
  <c r="D194" i="22" s="1"/>
  <c r="E173" i="22"/>
  <c r="E172" i="22"/>
  <c r="D192" i="22"/>
  <c r="E169" i="22"/>
  <c r="E168" i="22"/>
  <c r="E167" i="22"/>
  <c r="E166" i="22"/>
  <c r="E165" i="22"/>
  <c r="E164" i="22"/>
  <c r="E163" i="22"/>
  <c r="E162" i="22"/>
  <c r="D189" i="22" s="1"/>
  <c r="E161" i="22"/>
  <c r="F156" i="22"/>
  <c r="E156" i="22"/>
  <c r="C156" i="22"/>
  <c r="F155" i="22"/>
  <c r="E155" i="22"/>
  <c r="E188" i="22" s="1"/>
  <c r="C155" i="22"/>
  <c r="F154" i="22"/>
  <c r="E154" i="22"/>
  <c r="D154" i="22"/>
  <c r="F153" i="22"/>
  <c r="E153" i="22"/>
  <c r="D153" i="22"/>
  <c r="F152" i="22"/>
  <c r="E152" i="22"/>
  <c r="D152" i="22"/>
  <c r="F151" i="22"/>
  <c r="E151" i="22"/>
  <c r="D151" i="22"/>
  <c r="C151" i="22"/>
  <c r="F150" i="22"/>
  <c r="E150" i="22"/>
  <c r="E195" i="22" s="1"/>
  <c r="D150" i="22"/>
  <c r="F149" i="22"/>
  <c r="E149" i="22"/>
  <c r="D149" i="22"/>
  <c r="Q148" i="22"/>
  <c r="R148" i="22"/>
  <c r="S148" i="22" s="1"/>
  <c r="T148" i="22" s="1"/>
  <c r="U148" i="22" s="1"/>
  <c r="V148" i="22" s="1"/>
  <c r="W148" i="22" s="1"/>
  <c r="X148" i="22" s="1"/>
  <c r="Y148" i="22" s="1"/>
  <c r="Z148" i="22" s="1"/>
  <c r="F148" i="22"/>
  <c r="E148" i="22"/>
  <c r="E193" i="22" s="1"/>
  <c r="D148" i="22"/>
  <c r="F147" i="22"/>
  <c r="E147" i="22"/>
  <c r="E192" i="22" s="1"/>
  <c r="D147" i="22"/>
  <c r="F146" i="22"/>
  <c r="E146" i="22"/>
  <c r="D146" i="22"/>
  <c r="C146" i="22"/>
  <c r="B146" i="22"/>
  <c r="F145" i="22"/>
  <c r="E145" i="22"/>
  <c r="E187" i="22" s="1"/>
  <c r="C145" i="22"/>
  <c r="F144" i="22"/>
  <c r="E144" i="22"/>
  <c r="D144" i="22"/>
  <c r="N143" i="22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C140" i="22"/>
  <c r="F139" i="22"/>
  <c r="E139" i="22"/>
  <c r="D139" i="22"/>
  <c r="F138" i="22"/>
  <c r="E138" i="22"/>
  <c r="D138" i="22"/>
  <c r="M137" i="22"/>
  <c r="F137" i="22"/>
  <c r="E137" i="22"/>
  <c r="E189" i="22" s="1"/>
  <c r="D137" i="22"/>
  <c r="F136" i="22"/>
  <c r="E136" i="22"/>
  <c r="E190" i="22" s="1"/>
  <c r="D136" i="22"/>
  <c r="C136" i="22"/>
  <c r="B136" i="22"/>
  <c r="F135" i="22"/>
  <c r="E135" i="22"/>
  <c r="E134" i="22"/>
  <c r="D134" i="22"/>
  <c r="C134" i="22"/>
  <c r="B134" i="22"/>
  <c r="E128" i="22"/>
  <c r="E127" i="22"/>
  <c r="F193" i="22" s="1"/>
  <c r="M126" i="22"/>
  <c r="E126" i="22"/>
  <c r="M125" i="22"/>
  <c r="M132" i="22" s="1"/>
  <c r="E125" i="22"/>
  <c r="F195" i="22" s="1"/>
  <c r="E124" i="22"/>
  <c r="F194" i="22" s="1"/>
  <c r="E123" i="22"/>
  <c r="M122" i="22"/>
  <c r="E122" i="22"/>
  <c r="F192" i="22" s="1"/>
  <c r="E121" i="22"/>
  <c r="E119" i="22"/>
  <c r="E118" i="22"/>
  <c r="F191" i="22" s="1"/>
  <c r="E117" i="22"/>
  <c r="E116" i="22"/>
  <c r="E115" i="22"/>
  <c r="E114" i="22"/>
  <c r="E113" i="22"/>
  <c r="E112" i="22"/>
  <c r="F189" i="22"/>
  <c r="E111" i="22"/>
  <c r="E120" i="22" s="1"/>
  <c r="F187" i="22" s="1"/>
  <c r="Q100" i="22"/>
  <c r="P100" i="22"/>
  <c r="O100" i="22"/>
  <c r="N100" i="22"/>
  <c r="E99" i="22"/>
  <c r="E98" i="22"/>
  <c r="E97" i="22"/>
  <c r="E96" i="22"/>
  <c r="E95" i="22"/>
  <c r="E94" i="22"/>
  <c r="E93" i="22"/>
  <c r="E92" i="22"/>
  <c r="G192" i="22" s="1"/>
  <c r="E91" i="22"/>
  <c r="Q90" i="22"/>
  <c r="Q102" i="22" s="1"/>
  <c r="Q105" i="22" s="1"/>
  <c r="O90" i="22"/>
  <c r="N90" i="22"/>
  <c r="N102" i="22" s="1"/>
  <c r="N105" i="22" s="1"/>
  <c r="E89" i="22"/>
  <c r="E88" i="22"/>
  <c r="E87" i="22"/>
  <c r="E86" i="22"/>
  <c r="E85" i="22"/>
  <c r="E84" i="22"/>
  <c r="P83" i="22"/>
  <c r="E83" i="22"/>
  <c r="P82" i="22"/>
  <c r="P81" i="22"/>
  <c r="E81" i="22" s="1"/>
  <c r="G190" i="22" s="1"/>
  <c r="Q60" i="22"/>
  <c r="Q62" i="22" s="1"/>
  <c r="Q65" i="22" s="1"/>
  <c r="P60" i="22"/>
  <c r="O60" i="22"/>
  <c r="N60" i="22"/>
  <c r="E59" i="22"/>
  <c r="E58" i="22"/>
  <c r="E57" i="22"/>
  <c r="E56" i="22"/>
  <c r="E55" i="22"/>
  <c r="E54" i="22"/>
  <c r="E53" i="22"/>
  <c r="E52" i="22"/>
  <c r="E51" i="22"/>
  <c r="Q50" i="22"/>
  <c r="O50" i="22"/>
  <c r="N50" i="22"/>
  <c r="N62" i="22"/>
  <c r="N65" i="22" s="1"/>
  <c r="G50" i="22"/>
  <c r="E49" i="22"/>
  <c r="E48" i="22"/>
  <c r="E47" i="22"/>
  <c r="E46" i="22"/>
  <c r="E45" i="22"/>
  <c r="E44" i="22"/>
  <c r="P43" i="22"/>
  <c r="E43" i="22" s="1"/>
  <c r="P42" i="22"/>
  <c r="E42" i="22" s="1"/>
  <c r="P41" i="22"/>
  <c r="E41" i="22"/>
  <c r="H190" i="22" s="1"/>
  <c r="H192" i="22"/>
  <c r="H193" i="22"/>
  <c r="H194" i="22"/>
  <c r="E100" i="22"/>
  <c r="G195" i="22"/>
  <c r="O62" i="22"/>
  <c r="O65" i="22"/>
  <c r="O102" i="22"/>
  <c r="O105" i="22" s="1"/>
  <c r="G188" i="22"/>
  <c r="E180" i="22"/>
  <c r="D188" i="22" s="1"/>
  <c r="D190" i="22"/>
  <c r="D191" i="22"/>
  <c r="E71" i="19"/>
  <c r="E70" i="19"/>
  <c r="E69" i="19"/>
  <c r="E68" i="19"/>
  <c r="D88" i="19" s="1"/>
  <c r="E67" i="19"/>
  <c r="E66" i="19"/>
  <c r="D86" i="19" s="1"/>
  <c r="E65" i="19"/>
  <c r="E62" i="19"/>
  <c r="E61" i="19"/>
  <c r="E60" i="19"/>
  <c r="E59" i="19"/>
  <c r="E58" i="19"/>
  <c r="E57" i="19"/>
  <c r="D84" i="19" s="1"/>
  <c r="E56" i="19"/>
  <c r="E55" i="19"/>
  <c r="D82" i="19"/>
  <c r="E54" i="19"/>
  <c r="D83" i="19" s="1"/>
  <c r="F49" i="19"/>
  <c r="E49" i="19"/>
  <c r="C49" i="19"/>
  <c r="F48" i="19"/>
  <c r="E48" i="19"/>
  <c r="E81" i="19"/>
  <c r="C48" i="19"/>
  <c r="F47" i="19"/>
  <c r="E47" i="19"/>
  <c r="D47" i="19"/>
  <c r="F46" i="19"/>
  <c r="E46" i="19"/>
  <c r="D46" i="19"/>
  <c r="F45" i="19"/>
  <c r="E45" i="19"/>
  <c r="E86" i="19" s="1"/>
  <c r="D45" i="19"/>
  <c r="F44" i="19"/>
  <c r="E44" i="19"/>
  <c r="D44" i="19"/>
  <c r="C44" i="19"/>
  <c r="F43" i="19"/>
  <c r="E43" i="19"/>
  <c r="E88" i="19"/>
  <c r="D43" i="19"/>
  <c r="F42" i="19"/>
  <c r="E42" i="19"/>
  <c r="D42" i="19"/>
  <c r="Q41" i="19"/>
  <c r="R41" i="19" s="1"/>
  <c r="S41" i="19" s="1"/>
  <c r="T41" i="19" s="1"/>
  <c r="U41" i="19" s="1"/>
  <c r="V41" i="19" s="1"/>
  <c r="W41" i="19" s="1"/>
  <c r="X41" i="19" s="1"/>
  <c r="Y41" i="19" s="1"/>
  <c r="Z41" i="19" s="1"/>
  <c r="F41" i="19"/>
  <c r="E41" i="19"/>
  <c r="D41" i="19"/>
  <c r="F40" i="19"/>
  <c r="E40" i="19"/>
  <c r="E85" i="19"/>
  <c r="D40" i="19"/>
  <c r="F39" i="19"/>
  <c r="E39" i="19"/>
  <c r="D39" i="19"/>
  <c r="C39" i="19"/>
  <c r="B39" i="19"/>
  <c r="F38" i="19"/>
  <c r="E38" i="19"/>
  <c r="E80" i="19" s="1"/>
  <c r="C38" i="19"/>
  <c r="F37" i="19"/>
  <c r="E37" i="19"/>
  <c r="D37" i="19"/>
  <c r="N36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C33" i="19"/>
  <c r="F32" i="19"/>
  <c r="E32" i="19"/>
  <c r="D32" i="19"/>
  <c r="F31" i="19"/>
  <c r="C117" i="19" s="1"/>
  <c r="E31" i="19"/>
  <c r="D31" i="19"/>
  <c r="M30" i="19"/>
  <c r="F30" i="19"/>
  <c r="E30" i="19"/>
  <c r="E82" i="19"/>
  <c r="D30" i="19"/>
  <c r="F29" i="19"/>
  <c r="E29" i="19"/>
  <c r="E83" i="19"/>
  <c r="D29" i="19"/>
  <c r="C29" i="19"/>
  <c r="B29" i="19"/>
  <c r="F28" i="19"/>
  <c r="E28" i="19"/>
  <c r="E27" i="19"/>
  <c r="D27" i="19"/>
  <c r="C27" i="19"/>
  <c r="B27" i="19"/>
  <c r="E21" i="19"/>
  <c r="E20" i="19"/>
  <c r="M19" i="19"/>
  <c r="E19" i="19"/>
  <c r="M18" i="19"/>
  <c r="M25" i="19" s="1"/>
  <c r="M27" i="19" s="1"/>
  <c r="E18" i="19"/>
  <c r="F88" i="19"/>
  <c r="E17" i="19"/>
  <c r="F87" i="19" s="1"/>
  <c r="E16" i="19"/>
  <c r="M15" i="19"/>
  <c r="E15" i="19"/>
  <c r="E14" i="19"/>
  <c r="E12" i="19"/>
  <c r="E11" i="19"/>
  <c r="E10" i="19"/>
  <c r="E9" i="19"/>
  <c r="E8" i="19"/>
  <c r="E7" i="19"/>
  <c r="E6" i="19"/>
  <c r="E5" i="19"/>
  <c r="F82" i="19" s="1"/>
  <c r="G82" i="19" s="1"/>
  <c r="E4" i="19"/>
  <c r="F83" i="19"/>
  <c r="X3" i="1"/>
  <c r="E84" i="19"/>
  <c r="G83" i="19"/>
  <c r="D87" i="19"/>
  <c r="K192" i="22" l="1"/>
  <c r="E87" i="19"/>
  <c r="G87" i="19" s="1"/>
  <c r="F190" i="22"/>
  <c r="E170" i="22"/>
  <c r="D187" i="22" s="1"/>
  <c r="P50" i="22"/>
  <c r="P62" i="22" s="1"/>
  <c r="P65" i="22" s="1"/>
  <c r="R65" i="22" s="1"/>
  <c r="M134" i="22"/>
  <c r="D85" i="19"/>
  <c r="J195" i="22"/>
  <c r="G191" i="22"/>
  <c r="J191" i="22" s="1"/>
  <c r="G194" i="22"/>
  <c r="K194" i="22" s="1"/>
  <c r="E130" i="22"/>
  <c r="F188" i="22" s="1"/>
  <c r="I189" i="22"/>
  <c r="D193" i="22"/>
  <c r="J190" i="22"/>
  <c r="H189" i="22"/>
  <c r="E131" i="22"/>
  <c r="F119" i="22" s="1"/>
  <c r="P90" i="22"/>
  <c r="P102" i="22" s="1"/>
  <c r="P105" i="22" s="1"/>
  <c r="R105" i="22" s="1"/>
  <c r="E82" i="22"/>
  <c r="E73" i="19"/>
  <c r="D81" i="19" s="1"/>
  <c r="E23" i="19"/>
  <c r="F81" i="19" s="1"/>
  <c r="G81" i="19" s="1"/>
  <c r="G88" i="19"/>
  <c r="J188" i="22"/>
  <c r="J192" i="22"/>
  <c r="K190" i="22"/>
  <c r="E60" i="22"/>
  <c r="H195" i="22"/>
  <c r="K195" i="22" s="1"/>
  <c r="E63" i="19"/>
  <c r="E13" i="19"/>
  <c r="F85" i="19"/>
  <c r="G85" i="19" s="1"/>
  <c r="F84" i="19"/>
  <c r="G84" i="19" s="1"/>
  <c r="F86" i="19"/>
  <c r="E181" i="22"/>
  <c r="J194" i="22"/>
  <c r="H191" i="22"/>
  <c r="G193" i="22"/>
  <c r="J193" i="22" s="1"/>
  <c r="E103" i="22"/>
  <c r="E50" i="22"/>
  <c r="I187" i="22"/>
  <c r="I192" i="22"/>
  <c r="I190" i="22"/>
  <c r="I195" i="22"/>
  <c r="I188" i="22"/>
  <c r="E191" i="22"/>
  <c r="I191" i="22" s="1"/>
  <c r="E194" i="22"/>
  <c r="L194" i="22" s="1"/>
  <c r="C224" i="22"/>
  <c r="I193" i="22"/>
  <c r="L193" i="22"/>
  <c r="K191" i="22" l="1"/>
  <c r="H87" i="19"/>
  <c r="H86" i="19"/>
  <c r="G86" i="19"/>
  <c r="F117" i="22"/>
  <c r="F129" i="22"/>
  <c r="F118" i="22"/>
  <c r="F123" i="22"/>
  <c r="C228" i="22" s="1"/>
  <c r="F196" i="22"/>
  <c r="F113" i="22"/>
  <c r="F127" i="22"/>
  <c r="F115" i="22"/>
  <c r="F126" i="22"/>
  <c r="F125" i="22"/>
  <c r="C230" i="22" s="1"/>
  <c r="F114" i="22"/>
  <c r="F122" i="22"/>
  <c r="C227" i="22" s="1"/>
  <c r="F112" i="22"/>
  <c r="C222" i="22" s="1"/>
  <c r="F124" i="22"/>
  <c r="C229" i="22" s="1"/>
  <c r="H188" i="22"/>
  <c r="K188" i="22" s="1"/>
  <c r="E61" i="22"/>
  <c r="F60" i="22" s="1"/>
  <c r="G189" i="22"/>
  <c r="J189" i="22" s="1"/>
  <c r="F121" i="22"/>
  <c r="D80" i="19"/>
  <c r="E74" i="19"/>
  <c r="F164" i="22"/>
  <c r="F165" i="22"/>
  <c r="F166" i="22"/>
  <c r="F177" i="22"/>
  <c r="F171" i="22"/>
  <c r="F161" i="22"/>
  <c r="F162" i="22"/>
  <c r="F167" i="22"/>
  <c r="F173" i="22"/>
  <c r="F179" i="22"/>
  <c r="F175" i="22"/>
  <c r="F174" i="22"/>
  <c r="F168" i="22"/>
  <c r="F176" i="22"/>
  <c r="F178" i="22"/>
  <c r="F163" i="22"/>
  <c r="F169" i="22"/>
  <c r="F172" i="22"/>
  <c r="K189" i="22"/>
  <c r="F128" i="22"/>
  <c r="H187" i="22"/>
  <c r="E90" i="22"/>
  <c r="K193" i="22"/>
  <c r="E24" i="19"/>
  <c r="F80" i="19"/>
  <c r="G80" i="19" s="1"/>
  <c r="F111" i="22"/>
  <c r="F116" i="22"/>
  <c r="I194" i="22"/>
  <c r="C223" i="22" l="1"/>
  <c r="E224" i="22" s="1"/>
  <c r="F120" i="22"/>
  <c r="F131" i="22" s="1"/>
  <c r="F22" i="19"/>
  <c r="F19" i="19"/>
  <c r="F6" i="19"/>
  <c r="F4" i="19"/>
  <c r="F20" i="19"/>
  <c r="F8" i="19"/>
  <c r="F12" i="19"/>
  <c r="F10" i="19"/>
  <c r="F14" i="19"/>
  <c r="F15" i="19"/>
  <c r="C120" i="19" s="1"/>
  <c r="F16" i="19"/>
  <c r="C121" i="19" s="1"/>
  <c r="F5" i="19"/>
  <c r="C115" i="19" s="1"/>
  <c r="F21" i="19"/>
  <c r="F7" i="19"/>
  <c r="F18" i="19"/>
  <c r="C123" i="19" s="1"/>
  <c r="F11" i="19"/>
  <c r="F9" i="19"/>
  <c r="F17" i="19"/>
  <c r="C122" i="19" s="1"/>
  <c r="F130" i="22"/>
  <c r="E230" i="22"/>
  <c r="G187" i="22"/>
  <c r="J187" i="22" s="1"/>
  <c r="E101" i="22"/>
  <c r="F64" i="19"/>
  <c r="F56" i="19"/>
  <c r="F66" i="19"/>
  <c r="F55" i="19"/>
  <c r="F71" i="19"/>
  <c r="F59" i="19"/>
  <c r="F69" i="19"/>
  <c r="F70" i="19"/>
  <c r="F58" i="19"/>
  <c r="F72" i="19"/>
  <c r="F65" i="19"/>
  <c r="F62" i="19"/>
  <c r="F57" i="19"/>
  <c r="F67" i="19"/>
  <c r="F61" i="19"/>
  <c r="F60" i="19"/>
  <c r="F68" i="19"/>
  <c r="F54" i="19"/>
  <c r="K187" i="22"/>
  <c r="F170" i="22"/>
  <c r="F46" i="22"/>
  <c r="H196" i="22"/>
  <c r="F54" i="22"/>
  <c r="F58" i="22"/>
  <c r="F57" i="22"/>
  <c r="F52" i="22"/>
  <c r="F47" i="22"/>
  <c r="Q67" i="22"/>
  <c r="F53" i="22"/>
  <c r="F48" i="22"/>
  <c r="N67" i="22"/>
  <c r="P67" i="22"/>
  <c r="F49" i="22"/>
  <c r="F41" i="22"/>
  <c r="G223" i="22" s="1"/>
  <c r="F55" i="22"/>
  <c r="G230" i="22" s="1"/>
  <c r="F59" i="22"/>
  <c r="F44" i="22"/>
  <c r="F43" i="22"/>
  <c r="O67" i="22"/>
  <c r="F42" i="22"/>
  <c r="F51" i="22"/>
  <c r="F45" i="22"/>
  <c r="F56" i="22"/>
  <c r="G227" i="22" s="1"/>
  <c r="F50" i="22"/>
  <c r="F61" i="22" s="1"/>
  <c r="F180" i="22"/>
  <c r="G53" i="22" l="1"/>
  <c r="G228" i="22"/>
  <c r="D118" i="19"/>
  <c r="C125" i="19"/>
  <c r="F13" i="19"/>
  <c r="C116" i="19"/>
  <c r="G231" i="22"/>
  <c r="G196" i="22"/>
  <c r="F91" i="22"/>
  <c r="E63" i="22"/>
  <c r="F88" i="22"/>
  <c r="F95" i="22"/>
  <c r="F93" i="22"/>
  <c r="F81" i="22"/>
  <c r="F83" i="22"/>
  <c r="F97" i="22"/>
  <c r="F84" i="22"/>
  <c r="F99" i="22"/>
  <c r="F92" i="22"/>
  <c r="F87" i="22"/>
  <c r="F100" i="22"/>
  <c r="F98" i="22"/>
  <c r="F85" i="22"/>
  <c r="F86" i="22"/>
  <c r="F96" i="22"/>
  <c r="F94" i="22"/>
  <c r="F89" i="22"/>
  <c r="F82" i="22"/>
  <c r="G229" i="22"/>
  <c r="G54" i="22"/>
  <c r="F90" i="22"/>
  <c r="D125" i="19"/>
  <c r="F73" i="19"/>
  <c r="G222" i="22"/>
  <c r="F181" i="22"/>
  <c r="G224" i="22"/>
  <c r="G52" i="22"/>
  <c r="F63" i="19"/>
  <c r="F23" i="19"/>
  <c r="C232" i="22"/>
  <c r="I230" i="22" l="1"/>
  <c r="F24" i="19"/>
  <c r="F74" i="19"/>
  <c r="F101" i="22"/>
  <c r="G232" i="22"/>
  <c r="I224" i="22"/>
</calcChain>
</file>

<file path=xl/sharedStrings.xml><?xml version="1.0" encoding="utf-8"?>
<sst xmlns="http://schemas.openxmlformats.org/spreadsheetml/2006/main" count="540" uniqueCount="104">
  <si>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</si>
  <si>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</si>
  <si>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</si>
  <si>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</si>
  <si>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</si>
  <si>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</si>
  <si>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</si>
  <si>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</si>
  <si>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</si>
  <si>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</si>
  <si>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Typengruppe</t>
  </si>
  <si>
    <t>System</t>
  </si>
  <si>
    <r>
      <t xml:space="preserve"> § 15 (1) Nr. 1  BattG
</t>
    </r>
    <r>
      <rPr>
        <b/>
        <sz val="10"/>
        <rFont val="Arial"/>
        <family val="2"/>
      </rPr>
      <t>Masse der in Verkehr gebrachten Batterien</t>
    </r>
  </si>
  <si>
    <t>Rebat</t>
  </si>
  <si>
    <t>ERP</t>
  </si>
  <si>
    <t>[t]</t>
  </si>
  <si>
    <t>[%]</t>
  </si>
  <si>
    <t>I</t>
  </si>
  <si>
    <t>Primärbatterien</t>
  </si>
  <si>
    <t>Rundzellen / Blockbatterien</t>
  </si>
  <si>
    <t>ZnC</t>
  </si>
  <si>
    <t xml:space="preserve">Typengruppe
</t>
  </si>
  <si>
    <t xml:space="preserve">System
</t>
  </si>
  <si>
    <r>
      <t xml:space="preserve">§ 15 (1) Nr. 1 BattG
</t>
    </r>
    <r>
      <rPr>
        <b/>
        <sz val="10"/>
        <color indexed="8"/>
        <rFont val="Arial"/>
        <family val="1"/>
        <charset val="204"/>
      </rPr>
      <t xml:space="preserve">Masse der in Verkehr gebrachten Batterien
</t>
    </r>
  </si>
  <si>
    <t>AlMn</t>
  </si>
  <si>
    <t xml:space="preserve">[t]
</t>
  </si>
  <si>
    <t>Zn-Luft</t>
  </si>
  <si>
    <t xml:space="preserve">Rundzellen / Blockbatterien
</t>
  </si>
  <si>
    <t xml:space="preserve">ZnC
</t>
  </si>
  <si>
    <t>Li</t>
  </si>
  <si>
    <t xml:space="preserve">AlMn
</t>
  </si>
  <si>
    <t>Knopfzellen</t>
  </si>
  <si>
    <t>AgO</t>
  </si>
  <si>
    <t xml:space="preserve">Zn-Luft
</t>
  </si>
  <si>
    <t xml:space="preserve">Li
</t>
  </si>
  <si>
    <t xml:space="preserve">Knopfzellen
</t>
  </si>
  <si>
    <t xml:space="preserve">AgO
</t>
  </si>
  <si>
    <t xml:space="preserve">Sonstige </t>
  </si>
  <si>
    <t>Summe</t>
  </si>
  <si>
    <t>Sekundärbatterien</t>
  </si>
  <si>
    <t>Rund-/Prismatische Zellen / Blockbatterien</t>
  </si>
  <si>
    <t xml:space="preserve">Sonstige
</t>
  </si>
  <si>
    <t>Li-Ion</t>
  </si>
  <si>
    <t xml:space="preserve">Summe
</t>
  </si>
  <si>
    <t>NiMH</t>
  </si>
  <si>
    <t xml:space="preserve">Rund-/Prismatische Zellen / Blockbatterien
</t>
  </si>
  <si>
    <t>NiCd</t>
  </si>
  <si>
    <t xml:space="preserve">Li-Ion
</t>
  </si>
  <si>
    <t>Pb</t>
  </si>
  <si>
    <t xml:space="preserve">NiMH
</t>
  </si>
  <si>
    <t xml:space="preserve">NiCd
</t>
  </si>
  <si>
    <t xml:space="preserve">Pb
</t>
  </si>
  <si>
    <t>Sonstige</t>
  </si>
  <si>
    <t>Gesamt</t>
  </si>
  <si>
    <t xml:space="preserve">nicht identifizierbar
</t>
  </si>
  <si>
    <t xml:space="preserve">Gesamt
</t>
  </si>
  <si>
    <t xml:space="preserve">Berichtsjahr 2011
</t>
  </si>
  <si>
    <t xml:space="preserve">Jahr vor Berichtsjahr: 2010
</t>
  </si>
  <si>
    <t xml:space="preserve">vorletztes Jahr vor Berichtsjahr:
2009
</t>
  </si>
  <si>
    <t>Jahr</t>
  </si>
  <si>
    <t>Tsd.</t>
  </si>
  <si>
    <t>Sonstige (HgO)</t>
  </si>
  <si>
    <t>Trend gegenüber 2010 in %</t>
  </si>
  <si>
    <t xml:space="preserve"> Alkali-Mangan</t>
  </si>
  <si>
    <t xml:space="preserve"> Zink-Kohle</t>
  </si>
  <si>
    <t>Sonstige Primärbatterien</t>
  </si>
  <si>
    <t xml:space="preserve">Li-Ion </t>
  </si>
  <si>
    <t>Nickel-Metallhydrid</t>
  </si>
  <si>
    <t>Nickel-Cadmium</t>
  </si>
  <si>
    <t>Blei-Säure</t>
  </si>
  <si>
    <t>GRS</t>
  </si>
  <si>
    <t>Öcorecell</t>
  </si>
  <si>
    <t>Tonnen</t>
  </si>
  <si>
    <t>CCR REBAT</t>
  </si>
  <si>
    <r>
      <t xml:space="preserve"> § 15 (1) Nr. 1  BattG
</t>
    </r>
    <r>
      <rPr>
        <b/>
        <sz val="10"/>
        <rFont val="Calibri"/>
        <family val="2"/>
      </rPr>
      <t>Masse der in Verkehr gebrachten Batterien</t>
    </r>
  </si>
  <si>
    <r>
      <t xml:space="preserve">§ 15 (1) Nr. 1 BattG
</t>
    </r>
    <r>
      <rPr>
        <b/>
        <sz val="10"/>
        <color rgb="FF000000"/>
        <rFont val="Arial"/>
        <family val="1"/>
        <charset val="204"/>
      </rPr>
      <t xml:space="preserve">Masse der in Verkehr gebrachten Batterien
</t>
    </r>
  </si>
  <si>
    <t xml:space="preserve">Rund-/ Prismatische Zellen/ Blockbatterien
</t>
  </si>
  <si>
    <t xml:space="preserve">Berichtsjahr 2013
</t>
  </si>
  <si>
    <t xml:space="preserve">Jahr vor Berichtsjahr: 2012
</t>
  </si>
  <si>
    <t xml:space="preserve">vorletztes Jahr vor Berichtsjahr:
2011
</t>
  </si>
  <si>
    <t>Mittelwert</t>
  </si>
  <si>
    <t>Anteile</t>
  </si>
  <si>
    <t xml:space="preserve">Berichtsjahr 2012
</t>
  </si>
  <si>
    <t xml:space="preserve">Jahr vor Berichtsjahr: 2011
</t>
  </si>
  <si>
    <t xml:space="preserve">vorletztes Jahr vor Berichtsjahr:
2010
</t>
  </si>
  <si>
    <t>2010 - 2012</t>
  </si>
  <si>
    <t>[%] in 2011</t>
  </si>
  <si>
    <t>[%] in 2013</t>
  </si>
  <si>
    <t>Sonstige Sekundärbatterien</t>
  </si>
  <si>
    <t>Trend 2011 gegenüber 2010 in %</t>
  </si>
  <si>
    <t>Trend 2012 gegenüber 2011 in %</t>
  </si>
  <si>
    <t>Trend 2013 gegenüber 2012 in %</t>
  </si>
  <si>
    <t>Sekundärbatterien (Akkus)</t>
  </si>
  <si>
    <t>Spalte I</t>
  </si>
  <si>
    <t>Masse der in Verkehr gebrachten Batterien</t>
  </si>
  <si>
    <r>
      <t xml:space="preserve"> § 15 (1) Nr. 1  BattG
</t>
    </r>
    <r>
      <rPr>
        <b/>
        <sz val="10"/>
        <rFont val="Calibri"/>
        <family val="2"/>
        <scheme val="minor"/>
      </rPr>
      <t>Masse der in Verkehr gebrachten Batterien</t>
    </r>
  </si>
  <si>
    <t xml:space="preserve">Berichtsjahr 2014
</t>
  </si>
  <si>
    <t xml:space="preserve">Jahr vor Berichtsjahr: 2013
</t>
  </si>
  <si>
    <t xml:space="preserve">vorletztes Jahr vor Berichtsjahr:
2012
</t>
  </si>
  <si>
    <t>Lithium-Primär
(nicht wiederaufladbar)</t>
  </si>
  <si>
    <t>Li-Ion
(wiederaufladbar)</t>
  </si>
  <si>
    <t>Gerätebatterien: Entwicklung der in Verkehr gebrachten Primär- und Sekundärbatterien und der größten Batteriesysteme</t>
  </si>
  <si>
    <t>Erfolgskontrollberichte der Rücknahmesysteme für Geräte-Altbatterien 2015 bis 2022</t>
  </si>
  <si>
    <t>Erneut leichter Anstieg bei den wiederaufladbaren Li-Ion Batterien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</si>
</sst>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Quelle:&quot;\ @"/>
    <numFmt numFmtId="165" formatCode="#,##0.0"/>
    <numFmt numFmtId="166" formatCode="#,##0.000"/>
    <numFmt numFmtId="167" formatCode="#,##0.000_);\-#,##0.000"/>
    <numFmt numFmtId="168" formatCode="#,##0_);\-#,##0"/>
    <numFmt numFmtId="169" formatCode="#,##0.00000_);\-#,##0.00000"/>
    <numFmt numFmtId="170" formatCode="#,##0.00_);\-#,##0.00"/>
    <numFmt numFmtId="171" formatCode="#,##0.000000_);\-#,##0.000000"/>
    <numFmt numFmtId="172" formatCode="0.000"/>
    <numFmt numFmtId="173" formatCode="#,##0.0_);\-#,##0.0"/>
    <numFmt numFmtId="174" formatCode="#,###\ &quot;t&quot;"/>
    <numFmt numFmtId="175" formatCode="0.00000%"/>
    <numFmt numFmtId="176" formatCode="0.0%"/>
    <numFmt numFmtId="177" formatCode="0.0"/>
  </numFmts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Arial"/>
      <family val="2"/>
    </font>
    <font>
      <sz val="11"/>
      <color rgb="FF00B05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sz val="10"/>
      <color indexed="8"/>
      <name val="Arial"/>
      <family val="1"/>
      <charset val="204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25"/>
      <name val="Calibri"/>
      <family val="2"/>
      <scheme val="minor"/>
    </font>
    <font>
      <sz val="10"/>
      <color indexed="25"/>
      <name val="Arial"/>
      <family val="2"/>
    </font>
    <font>
      <b/>
      <sz val="10"/>
      <color rgb="FF00B050"/>
      <name val="Arial"/>
      <family val="2"/>
    </font>
    <font>
      <sz val="11"/>
      <color theme="1"/>
      <name val="Calibri"/>
      <family val="2"/>
    </font>
    <font>
      <b/>
      <sz val="10"/>
      <color indexed="8"/>
      <name val="Arial"/>
      <family val="2"/>
    </font>
    <font>
      <sz val="11"/>
      <color rgb="FF00B050"/>
      <name val="Calibri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FF3399"/>
      <name val="Arial"/>
      <family val="1"/>
      <charset val="204"/>
    </font>
    <font>
      <b/>
      <sz val="1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1"/>
      <charset val="204"/>
    </font>
    <font>
      <sz val="10"/>
      <color rgb="FF000000"/>
      <name val="Arial"/>
      <family val="1"/>
      <charset val="204"/>
    </font>
    <font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993366"/>
      <name val="Arial"/>
      <family val="2"/>
    </font>
    <font>
      <sz val="11"/>
      <color rgb="FF993366"/>
      <name val="Calibri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b/>
      <sz val="11"/>
      <color rgb="FFFF3399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9" tint="-0.499984740745262"/>
      <name val="Arial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3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lightGray">
        <fgColor rgb="FF000000"/>
        <bgColor rgb="FFFFFF99"/>
      </patternFill>
    </fill>
    <fill>
      <patternFill patternType="solid">
        <fgColor rgb="FFE6E6E6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 style="thin">
        <color indexed="64"/>
      </bottom>
      <diagonal/>
    </border>
  </borders>
  <cellStyleXfs count="9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4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  <xf numFmtId="0" fontId="4" fillId="0" borderId="0"/>
    <xf numFmtId="0" fontId="38" fillId="0" borderId="0"/>
    <xf numFmtId="0" fontId="43" fillId="0" borderId="0" applyNumberFormat="0" applyFill="0" applyBorder="0" applyProtection="0">
      <alignment vertical="top" wrapText="1"/>
    </xf>
    <xf numFmtId="9" fontId="3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46" borderId="0" applyNumberFormat="0" applyBorder="0" applyAlignment="0" applyProtection="0"/>
    <xf numFmtId="0" fontId="85" fillId="47" borderId="0" applyNumberFormat="0" applyBorder="0" applyAlignment="0" applyProtection="0"/>
    <xf numFmtId="0" fontId="86" fillId="48" borderId="0" applyNumberFormat="0" applyBorder="0" applyAlignment="0" applyProtection="0"/>
    <xf numFmtId="0" fontId="87" fillId="49" borderId="33" applyNumberFormat="0" applyAlignment="0" applyProtection="0"/>
    <xf numFmtId="0" fontId="88" fillId="50" borderId="34" applyNumberFormat="0" applyAlignment="0" applyProtection="0"/>
    <xf numFmtId="0" fontId="89" fillId="50" borderId="33" applyNumberFormat="0" applyAlignment="0" applyProtection="0"/>
    <xf numFmtId="0" fontId="90" fillId="0" borderId="35" applyNumberFormat="0" applyFill="0" applyAlignment="0" applyProtection="0"/>
    <xf numFmtId="0" fontId="91" fillId="51" borderId="36" applyNumberFormat="0" applyAlignment="0" applyProtection="0"/>
    <xf numFmtId="0" fontId="39" fillId="0" borderId="0" applyNumberFormat="0" applyFill="0" applyBorder="0" applyAlignment="0" applyProtection="0"/>
    <xf numFmtId="0" fontId="1" fillId="52" borderId="37" applyNumberFormat="0" applyFont="0" applyAlignment="0" applyProtection="0"/>
    <xf numFmtId="0" fontId="92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93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93" fillId="56" borderId="0" applyNumberFormat="0" applyBorder="0" applyAlignment="0" applyProtection="0"/>
    <xf numFmtId="0" fontId="9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93" fillId="60" borderId="0" applyNumberFormat="0" applyBorder="0" applyAlignment="0" applyProtection="0"/>
    <xf numFmtId="0" fontId="93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93" fillId="64" borderId="0" applyNumberFormat="0" applyBorder="0" applyAlignment="0" applyProtection="0"/>
    <xf numFmtId="0" fontId="93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93" fillId="68" borderId="0" applyNumberFormat="0" applyBorder="0" applyAlignment="0" applyProtection="0"/>
    <xf numFmtId="0" fontId="93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93" fillId="72" borderId="0" applyNumberFormat="0" applyBorder="0" applyAlignment="0" applyProtection="0"/>
    <xf numFmtId="0" fontId="93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93" fillId="76" borderId="0" applyNumberFormat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1">
    <xf numFmtId="0" fontId="0" fillId="0" borderId="0" xfId="0"/>
    <xf numFmtId="0" fontId="0" fillId="0" borderId="0" xfId="0" applyBorder="1"/>
    <xf numFmtId="0" fontId="23" fillId="0" borderId="0" xfId="0" applyFont="1" applyBorder="1" applyAlignment="1"/>
    <xf numFmtId="0" fontId="23" fillId="0" borderId="0" xfId="0" applyFont="1" applyBorder="1" applyAlignment="1">
      <alignment horizontal="right" indent="1"/>
    </xf>
    <xf numFmtId="0" fontId="24" fillId="0" borderId="0" xfId="0" applyFont="1" applyBorder="1" applyAlignment="1"/>
    <xf numFmtId="0" fontId="25" fillId="0" borderId="0" xfId="0" applyFont="1" applyBorder="1" applyAlignment="1"/>
    <xf numFmtId="0" fontId="30" fillId="24" borderId="0" xfId="0" applyFont="1" applyFill="1" applyProtection="1"/>
    <xf numFmtId="0" fontId="30" fillId="24" borderId="0" xfId="0" applyFont="1" applyFill="1"/>
    <xf numFmtId="0" fontId="30" fillId="24" borderId="0" xfId="0" applyFont="1" applyFill="1" applyBorder="1" applyProtection="1"/>
    <xf numFmtId="0" fontId="31" fillId="24" borderId="0" xfId="0" applyFont="1" applyFill="1" applyBorder="1" applyAlignment="1" applyProtection="1"/>
    <xf numFmtId="0" fontId="31" fillId="24" borderId="0" xfId="0" applyFont="1" applyFill="1" applyBorder="1" applyProtection="1"/>
    <xf numFmtId="0" fontId="31" fillId="24" borderId="0" xfId="0" applyFont="1" applyFill="1" applyBorder="1" applyProtection="1">
      <protection locked="0"/>
    </xf>
    <xf numFmtId="0" fontId="31" fillId="24" borderId="0" xfId="0" applyFont="1" applyFill="1" applyBorder="1" applyAlignment="1" applyProtection="1">
      <alignment vertical="center"/>
    </xf>
    <xf numFmtId="0" fontId="33" fillId="25" borderId="14" xfId="0" applyFont="1" applyFill="1" applyBorder="1" applyAlignment="1">
      <alignment horizontal="right" vertical="center"/>
    </xf>
    <xf numFmtId="0" fontId="0" fillId="24" borderId="0" xfId="0" applyFill="1" applyBorder="1"/>
    <xf numFmtId="0" fontId="23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3" fillId="24" borderId="0" xfId="0" applyFont="1" applyFill="1" applyBorder="1" applyAlignment="1" applyProtection="1">
      <alignment horizontal="right" indent="1"/>
    </xf>
    <xf numFmtId="0" fontId="23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3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3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164" fontId="27" fillId="24" borderId="0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/>
    </xf>
    <xf numFmtId="0" fontId="33" fillId="25" borderId="24" xfId="0" applyFont="1" applyFill="1" applyBorder="1" applyAlignment="1">
      <alignment horizontal="center" vertical="center" wrapText="1"/>
    </xf>
    <xf numFmtId="3" fontId="32" fillId="26" borderId="22" xfId="0" applyNumberFormat="1" applyFont="1" applyFill="1" applyBorder="1" applyAlignment="1">
      <alignment horizontal="right" vertical="center" wrapText="1" indent="3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 applyProtection="1"/>
    <xf numFmtId="0" fontId="23" fillId="24" borderId="17" xfId="0" applyFont="1" applyFill="1" applyBorder="1" applyAlignment="1" applyProtection="1">
      <alignment horizontal="right" indent="1"/>
    </xf>
    <xf numFmtId="0" fontId="0" fillId="24" borderId="18" xfId="0" applyFill="1" applyBorder="1"/>
    <xf numFmtId="0" fontId="38" fillId="0" borderId="0" xfId="43"/>
    <xf numFmtId="0" fontId="38" fillId="0" borderId="0" xfId="43" applyAlignment="1">
      <alignment wrapText="1"/>
    </xf>
    <xf numFmtId="0" fontId="36" fillId="0" borderId="10" xfId="43" applyFont="1" applyBorder="1" applyAlignment="1">
      <alignment horizontal="center" vertical="center" wrapText="1"/>
    </xf>
    <xf numFmtId="0" fontId="39" fillId="0" borderId="0" xfId="43" applyFont="1" applyAlignment="1">
      <alignment wrapText="1"/>
    </xf>
    <xf numFmtId="0" fontId="39" fillId="0" borderId="0" xfId="43" applyFont="1"/>
    <xf numFmtId="0" fontId="38" fillId="0" borderId="10" xfId="43" applyBorder="1"/>
    <xf numFmtId="0" fontId="38" fillId="0" borderId="10" xfId="43" applyBorder="1" applyAlignment="1"/>
    <xf numFmtId="0" fontId="38" fillId="0" borderId="10" xfId="43" applyBorder="1" applyAlignment="1">
      <alignment horizontal="center"/>
    </xf>
    <xf numFmtId="0" fontId="40" fillId="0" borderId="0" xfId="43" applyFont="1"/>
    <xf numFmtId="0" fontId="36" fillId="0" borderId="0" xfId="43" applyFont="1" applyAlignment="1">
      <alignment horizontal="center"/>
    </xf>
    <xf numFmtId="0" fontId="38" fillId="0" borderId="0" xfId="43" applyAlignment="1">
      <alignment horizontal="center"/>
    </xf>
    <xf numFmtId="3" fontId="42" fillId="28" borderId="10" xfId="43" applyNumberFormat="1" applyFont="1" applyFill="1" applyBorder="1" applyAlignment="1"/>
    <xf numFmtId="165" fontId="38" fillId="28" borderId="10" xfId="43" applyNumberFormat="1" applyFill="1" applyBorder="1" applyAlignment="1">
      <alignment horizontal="right"/>
    </xf>
    <xf numFmtId="0" fontId="44" fillId="24" borderId="10" xfId="44" applyFont="1" applyFill="1" applyBorder="1" applyAlignment="1">
      <alignment horizontal="left" vertical="center" wrapText="1"/>
    </xf>
    <xf numFmtId="0" fontId="4" fillId="0" borderId="10" xfId="43" applyFont="1" applyBorder="1" applyAlignment="1">
      <alignment horizontal="center" vertical="top" wrapText="1"/>
    </xf>
    <xf numFmtId="0" fontId="45" fillId="24" borderId="10" xfId="44" applyFont="1" applyFill="1" applyBorder="1" applyAlignment="1">
      <alignment horizontal="left" vertical="top" wrapText="1"/>
    </xf>
    <xf numFmtId="0" fontId="43" fillId="24" borderId="10" xfId="44" applyFont="1" applyFill="1" applyBorder="1" applyAlignment="1">
      <alignment horizontal="left" vertical="top" wrapText="1"/>
    </xf>
    <xf numFmtId="0" fontId="45" fillId="24" borderId="10" xfId="44" applyFont="1" applyFill="1" applyBorder="1" applyAlignment="1">
      <alignment horizontal="center"/>
    </xf>
    <xf numFmtId="3" fontId="38" fillId="0" borderId="0" xfId="43" applyNumberFormat="1"/>
    <xf numFmtId="166" fontId="38" fillId="29" borderId="10" xfId="43" applyNumberFormat="1" applyFill="1" applyBorder="1" applyAlignment="1">
      <alignment horizontal="right"/>
    </xf>
    <xf numFmtId="167" fontId="46" fillId="28" borderId="10" xfId="44" applyNumberFormat="1" applyFont="1" applyFill="1" applyBorder="1" applyAlignment="1">
      <alignment horizontal="right"/>
    </xf>
    <xf numFmtId="168" fontId="47" fillId="24" borderId="10" xfId="44" applyNumberFormat="1" applyFont="1" applyFill="1" applyBorder="1" applyAlignment="1">
      <alignment horizontal="left" vertical="top" wrapText="1"/>
    </xf>
    <xf numFmtId="167" fontId="48" fillId="28" borderId="10" xfId="44" applyNumberFormat="1" applyFont="1" applyFill="1" applyBorder="1" applyAlignment="1">
      <alignment horizontal="right"/>
    </xf>
    <xf numFmtId="168" fontId="48" fillId="28" borderId="10" xfId="44" applyNumberFormat="1" applyFont="1" applyFill="1" applyBorder="1" applyAlignment="1">
      <alignment horizontal="right"/>
    </xf>
    <xf numFmtId="169" fontId="48" fillId="28" borderId="10" xfId="44" applyNumberFormat="1" applyFont="1" applyFill="1" applyBorder="1" applyAlignment="1">
      <alignment horizontal="right"/>
    </xf>
    <xf numFmtId="0" fontId="4" fillId="0" borderId="15" xfId="43" applyFont="1" applyFill="1" applyBorder="1" applyAlignment="1">
      <alignment horizontal="center" vertical="center" wrapText="1"/>
    </xf>
    <xf numFmtId="170" fontId="48" fillId="28" borderId="10" xfId="44" applyNumberFormat="1" applyFont="1" applyFill="1" applyBorder="1" applyAlignment="1">
      <alignment horizontal="right"/>
    </xf>
    <xf numFmtId="0" fontId="41" fillId="27" borderId="15" xfId="43" applyFont="1" applyFill="1" applyBorder="1" applyAlignment="1">
      <alignment horizontal="center" vertical="center" textRotation="90"/>
    </xf>
    <xf numFmtId="0" fontId="4" fillId="32" borderId="10" xfId="43" applyFont="1" applyFill="1" applyBorder="1" applyAlignment="1">
      <alignment horizontal="center" vertical="center" wrapText="1"/>
    </xf>
    <xf numFmtId="0" fontId="38" fillId="32" borderId="10" xfId="43" applyFill="1" applyBorder="1" applyAlignment="1"/>
    <xf numFmtId="3" fontId="42" fillId="32" borderId="10" xfId="43" applyNumberFormat="1" applyFont="1" applyFill="1" applyBorder="1" applyAlignment="1"/>
    <xf numFmtId="165" fontId="38" fillId="32" borderId="10" xfId="43" applyNumberFormat="1" applyFill="1" applyBorder="1" applyAlignment="1">
      <alignment horizontal="right"/>
    </xf>
    <xf numFmtId="171" fontId="48" fillId="28" borderId="10" xfId="44" applyNumberFormat="1" applyFont="1" applyFill="1" applyBorder="1" applyAlignment="1">
      <alignment horizontal="right"/>
    </xf>
    <xf numFmtId="165" fontId="38" fillId="29" borderId="10" xfId="43" applyNumberFormat="1" applyFill="1" applyBorder="1" applyAlignment="1">
      <alignment horizontal="right"/>
    </xf>
    <xf numFmtId="168" fontId="49" fillId="24" borderId="10" xfId="44" applyNumberFormat="1" applyFont="1" applyFill="1" applyBorder="1" applyAlignment="1">
      <alignment horizontal="left" vertical="top" wrapText="1"/>
    </xf>
    <xf numFmtId="168" fontId="47" fillId="34" borderId="10" xfId="44" applyNumberFormat="1" applyFont="1" applyFill="1" applyBorder="1" applyAlignment="1">
      <alignment horizontal="left" vertical="top" wrapText="1"/>
    </xf>
    <xf numFmtId="168" fontId="49" fillId="34" borderId="10" xfId="44" applyNumberFormat="1" applyFont="1" applyFill="1" applyBorder="1" applyAlignment="1">
      <alignment horizontal="left" vertical="top" wrapText="1"/>
    </xf>
    <xf numFmtId="172" fontId="38" fillId="32" borderId="10" xfId="43" applyNumberFormat="1" applyFill="1" applyBorder="1" applyAlignment="1">
      <alignment horizontal="right"/>
    </xf>
    <xf numFmtId="171" fontId="48" fillId="34" borderId="10" xfId="44" applyNumberFormat="1" applyFont="1" applyFill="1" applyBorder="1" applyAlignment="1">
      <alignment horizontal="right"/>
    </xf>
    <xf numFmtId="3" fontId="38" fillId="29" borderId="10" xfId="43" applyNumberFormat="1" applyFill="1" applyBorder="1" applyAlignment="1">
      <alignment horizontal="right"/>
    </xf>
    <xf numFmtId="173" fontId="47" fillId="24" borderId="10" xfId="44" applyNumberFormat="1" applyFont="1" applyFill="1" applyBorder="1" applyAlignment="1">
      <alignment horizontal="left" vertical="top" wrapText="1"/>
    </xf>
    <xf numFmtId="167" fontId="47" fillId="24" borderId="10" xfId="44" applyNumberFormat="1" applyFont="1" applyFill="1" applyBorder="1" applyAlignment="1">
      <alignment horizontal="left" vertical="top" wrapText="1"/>
    </xf>
    <xf numFmtId="0" fontId="4" fillId="0" borderId="10" xfId="43" applyFont="1" applyFill="1" applyBorder="1" applyAlignment="1">
      <alignment horizontal="center" vertical="center" wrapText="1"/>
    </xf>
    <xf numFmtId="0" fontId="41" fillId="32" borderId="10" xfId="43" applyFont="1" applyFill="1" applyBorder="1" applyAlignment="1">
      <alignment horizontal="center" vertical="center" textRotation="90"/>
    </xf>
    <xf numFmtId="3" fontId="50" fillId="32" borderId="10" xfId="43" applyNumberFormat="1" applyFont="1" applyFill="1" applyBorder="1"/>
    <xf numFmtId="3" fontId="38" fillId="32" borderId="10" xfId="43" applyNumberFormat="1" applyFill="1" applyBorder="1" applyAlignment="1">
      <alignment horizontal="right"/>
    </xf>
    <xf numFmtId="166" fontId="38" fillId="32" borderId="10" xfId="43" applyNumberFormat="1" applyFill="1" applyBorder="1" applyAlignment="1">
      <alignment horizontal="right"/>
    </xf>
    <xf numFmtId="168" fontId="48" fillId="34" borderId="10" xfId="44" applyNumberFormat="1" applyFont="1" applyFill="1" applyBorder="1" applyAlignment="1">
      <alignment horizontal="right"/>
    </xf>
    <xf numFmtId="0" fontId="36" fillId="0" borderId="0" xfId="43" applyFont="1" applyBorder="1" applyAlignment="1">
      <alignment horizontal="center" vertical="center" wrapText="1"/>
    </xf>
    <xf numFmtId="0" fontId="38" fillId="0" borderId="0" xfId="43" applyBorder="1" applyAlignment="1">
      <alignment horizontal="center"/>
    </xf>
    <xf numFmtId="0" fontId="38" fillId="0" borderId="0" xfId="43" applyBorder="1"/>
    <xf numFmtId="0" fontId="38" fillId="35" borderId="10" xfId="43" applyFill="1" applyBorder="1" applyAlignment="1">
      <alignment horizontal="right"/>
    </xf>
    <xf numFmtId="168" fontId="48" fillId="24" borderId="10" xfId="44" applyNumberFormat="1" applyFont="1" applyFill="1" applyBorder="1" applyAlignment="1">
      <alignment horizontal="right"/>
    </xf>
    <xf numFmtId="168" fontId="52" fillId="34" borderId="10" xfId="44" applyNumberFormat="1" applyFont="1" applyFill="1" applyBorder="1" applyAlignment="1">
      <alignment horizontal="left" vertical="top" wrapText="1"/>
    </xf>
    <xf numFmtId="166" fontId="36" fillId="32" borderId="10" xfId="43" applyNumberFormat="1" applyFont="1" applyFill="1" applyBorder="1"/>
    <xf numFmtId="0" fontId="51" fillId="0" borderId="10" xfId="43" applyFont="1" applyBorder="1"/>
    <xf numFmtId="0" fontId="51" fillId="0" borderId="10" xfId="43" applyFont="1" applyBorder="1" applyAlignment="1"/>
    <xf numFmtId="0" fontId="51" fillId="0" borderId="10" xfId="43" applyFont="1" applyBorder="1" applyAlignment="1">
      <alignment horizontal="center"/>
    </xf>
    <xf numFmtId="3" fontId="53" fillId="37" borderId="10" xfId="43" applyNumberFormat="1" applyFont="1" applyFill="1" applyBorder="1" applyAlignment="1"/>
    <xf numFmtId="3" fontId="51" fillId="37" borderId="10" xfId="43" applyNumberFormat="1" applyFont="1" applyFill="1" applyBorder="1" applyAlignment="1">
      <alignment horizontal="right"/>
    </xf>
    <xf numFmtId="3" fontId="36" fillId="32" borderId="15" xfId="43" applyNumberFormat="1" applyFont="1" applyFill="1" applyBorder="1"/>
    <xf numFmtId="168" fontId="48" fillId="34" borderId="29" xfId="44" applyNumberFormat="1" applyFont="1" applyFill="1" applyBorder="1" applyAlignment="1">
      <alignment horizontal="right"/>
    </xf>
    <xf numFmtId="0" fontId="54" fillId="0" borderId="0" xfId="43" applyFont="1"/>
    <xf numFmtId="0" fontId="41" fillId="36" borderId="15" xfId="43" applyFont="1" applyFill="1" applyBorder="1" applyAlignment="1">
      <alignment horizontal="center" vertical="center" textRotation="90"/>
    </xf>
    <xf numFmtId="0" fontId="4" fillId="39" borderId="10" xfId="43" applyFont="1" applyFill="1" applyBorder="1" applyAlignment="1">
      <alignment horizontal="center" vertical="center" wrapText="1"/>
    </xf>
    <xf numFmtId="0" fontId="51" fillId="39" borderId="10" xfId="43" applyFont="1" applyFill="1" applyBorder="1" applyAlignment="1"/>
    <xf numFmtId="3" fontId="53" fillId="39" borderId="10" xfId="43" applyNumberFormat="1" applyFont="1" applyFill="1" applyBorder="1" applyAlignment="1"/>
    <xf numFmtId="3" fontId="51" fillId="39" borderId="10" xfId="43" applyNumberFormat="1" applyFont="1" applyFill="1" applyBorder="1" applyAlignment="1">
      <alignment horizontal="right"/>
    </xf>
    <xf numFmtId="0" fontId="36" fillId="0" borderId="0" xfId="43" applyFont="1"/>
    <xf numFmtId="0" fontId="41" fillId="39" borderId="10" xfId="43" applyFont="1" applyFill="1" applyBorder="1" applyAlignment="1">
      <alignment horizontal="center" vertical="center" textRotation="90"/>
    </xf>
    <xf numFmtId="3" fontId="50" fillId="39" borderId="10" xfId="43" applyNumberFormat="1" applyFont="1" applyFill="1" applyBorder="1"/>
    <xf numFmtId="172" fontId="38" fillId="0" borderId="0" xfId="43" applyNumberFormat="1"/>
    <xf numFmtId="3" fontId="38" fillId="28" borderId="10" xfId="43" applyNumberFormat="1" applyFill="1" applyBorder="1" applyAlignment="1"/>
    <xf numFmtId="3" fontId="38" fillId="28" borderId="10" xfId="43" applyNumberFormat="1" applyFill="1" applyBorder="1" applyAlignment="1">
      <alignment horizontal="right"/>
    </xf>
    <xf numFmtId="3" fontId="38" fillId="32" borderId="10" xfId="43" applyNumberFormat="1" applyFill="1" applyBorder="1" applyAlignment="1"/>
    <xf numFmtId="3" fontId="46" fillId="28" borderId="10" xfId="43" applyNumberFormat="1" applyFont="1" applyFill="1" applyBorder="1" applyAlignment="1"/>
    <xf numFmtId="3" fontId="36" fillId="32" borderId="10" xfId="43" applyNumberFormat="1" applyFont="1" applyFill="1" applyBorder="1"/>
    <xf numFmtId="174" fontId="38" fillId="0" borderId="0" xfId="43" applyNumberFormat="1"/>
    <xf numFmtId="0" fontId="38" fillId="41" borderId="0" xfId="43" applyFill="1"/>
    <xf numFmtId="174" fontId="38" fillId="41" borderId="0" xfId="43" applyNumberFormat="1" applyFill="1"/>
    <xf numFmtId="0" fontId="35" fillId="0" borderId="10" xfId="43" applyFont="1" applyBorder="1" applyAlignment="1">
      <alignment horizontal="left" vertical="center" wrapText="1"/>
    </xf>
    <xf numFmtId="0" fontId="55" fillId="0" borderId="10" xfId="43" applyFont="1" applyBorder="1" applyAlignment="1"/>
    <xf numFmtId="4" fontId="56" fillId="0" borderId="10" xfId="43" applyNumberFormat="1" applyFont="1" applyBorder="1"/>
    <xf numFmtId="0" fontId="56" fillId="0" borderId="10" xfId="43" applyFont="1" applyBorder="1" applyAlignment="1"/>
    <xf numFmtId="0" fontId="57" fillId="0" borderId="10" xfId="43" applyFont="1" applyBorder="1" applyAlignment="1">
      <alignment wrapText="1"/>
    </xf>
    <xf numFmtId="165" fontId="39" fillId="0" borderId="0" xfId="43" applyNumberFormat="1" applyFont="1"/>
    <xf numFmtId="0" fontId="57" fillId="0" borderId="10" xfId="43" applyFont="1" applyBorder="1" applyAlignment="1"/>
    <xf numFmtId="3" fontId="38" fillId="0" borderId="10" xfId="43" applyNumberFormat="1" applyBorder="1"/>
    <xf numFmtId="0" fontId="38" fillId="0" borderId="10" xfId="43" applyFill="1" applyBorder="1" applyAlignment="1"/>
    <xf numFmtId="4" fontId="39" fillId="0" borderId="0" xfId="43" applyNumberFormat="1" applyFont="1"/>
    <xf numFmtId="3" fontId="56" fillId="0" borderId="10" xfId="43" applyNumberFormat="1" applyFont="1" applyBorder="1"/>
    <xf numFmtId="174" fontId="0" fillId="0" borderId="0" xfId="0" applyNumberFormat="1"/>
    <xf numFmtId="0" fontId="29" fillId="26" borderId="21" xfId="0" applyNumberFormat="1" applyFont="1" applyFill="1" applyBorder="1" applyAlignment="1">
      <alignment horizontal="left" vertical="center" wrapText="1"/>
    </xf>
    <xf numFmtId="0" fontId="33" fillId="25" borderId="23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/>
    <xf numFmtId="0" fontId="56" fillId="0" borderId="10" xfId="43" applyFont="1" applyBorder="1" applyAlignment="1"/>
    <xf numFmtId="0" fontId="59" fillId="0" borderId="0" xfId="0" applyFont="1" applyBorder="1"/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left" wrapText="1"/>
    </xf>
    <xf numFmtId="0" fontId="59" fillId="0" borderId="25" xfId="0" applyFont="1" applyBorder="1"/>
    <xf numFmtId="0" fontId="59" fillId="0" borderId="28" xfId="0" applyFont="1" applyBorder="1"/>
    <xf numFmtId="0" fontId="60" fillId="42" borderId="19" xfId="44" applyFont="1" applyFill="1" applyBorder="1" applyAlignment="1">
      <alignment horizontal="center" vertical="center" wrapText="1"/>
    </xf>
    <xf numFmtId="0" fontId="60" fillId="42" borderId="10" xfId="44" applyFont="1" applyFill="1" applyBorder="1" applyAlignment="1">
      <alignment horizontal="center" vertical="center" wrapText="1"/>
    </xf>
    <xf numFmtId="0" fontId="60" fillId="42" borderId="20" xfId="44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3" fillId="43" borderId="0" xfId="0" applyFont="1" applyFill="1" applyBorder="1"/>
    <xf numFmtId="0" fontId="64" fillId="42" borderId="12" xfId="44" applyFont="1" applyFill="1" applyBorder="1" applyAlignment="1">
      <alignment horizontal="left" vertical="center" wrapText="1"/>
    </xf>
    <xf numFmtId="0" fontId="64" fillId="42" borderId="15" xfId="44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 wrapText="1"/>
    </xf>
    <xf numFmtId="0" fontId="65" fillId="42" borderId="15" xfId="44" applyFont="1" applyFill="1" applyBorder="1" applyAlignment="1">
      <alignment horizontal="left" vertical="top" wrapText="1"/>
    </xf>
    <xf numFmtId="0" fontId="65" fillId="42" borderId="17" xfId="44" applyFont="1" applyFill="1" applyBorder="1" applyAlignment="1">
      <alignment horizontal="left" vertical="top" wrapText="1"/>
    </xf>
    <xf numFmtId="0" fontId="66" fillId="0" borderId="10" xfId="0" applyFont="1" applyBorder="1"/>
    <xf numFmtId="0" fontId="66" fillId="0" borderId="10" xfId="0" applyFont="1" applyBorder="1" applyAlignment="1"/>
    <xf numFmtId="0" fontId="66" fillId="0" borderId="10" xfId="0" applyFont="1" applyBorder="1" applyAlignment="1">
      <alignment horizontal="center"/>
    </xf>
    <xf numFmtId="0" fontId="43" fillId="42" borderId="15" xfId="44" applyFont="1" applyFill="1" applyBorder="1" applyAlignment="1">
      <alignment horizontal="left" vertical="top" wrapText="1"/>
    </xf>
    <xf numFmtId="0" fontId="59" fillId="0" borderId="15" xfId="0" applyFont="1" applyBorder="1" applyAlignment="1">
      <alignment horizontal="center"/>
    </xf>
    <xf numFmtId="0" fontId="65" fillId="42" borderId="15" xfId="44" applyFont="1" applyFill="1" applyBorder="1" applyAlignment="1">
      <alignment horizontal="center"/>
    </xf>
    <xf numFmtId="3" fontId="62" fillId="37" borderId="10" xfId="0" applyNumberFormat="1" applyFont="1" applyFill="1" applyBorder="1" applyAlignment="1"/>
    <xf numFmtId="0" fontId="65" fillId="42" borderId="10" xfId="44" applyFont="1" applyFill="1" applyBorder="1" applyAlignment="1">
      <alignment horizontal="left" vertical="top" wrapText="1"/>
    </xf>
    <xf numFmtId="4" fontId="67" fillId="37" borderId="10" xfId="0" applyNumberFormat="1" applyFont="1" applyFill="1" applyBorder="1" applyAlignment="1">
      <alignment horizontal="right"/>
    </xf>
    <xf numFmtId="4" fontId="67" fillId="37" borderId="10" xfId="44" applyNumberFormat="1" applyFont="1" applyFill="1" applyBorder="1" applyAlignment="1">
      <alignment horizontal="right"/>
    </xf>
    <xf numFmtId="168" fontId="68" fillId="42" borderId="10" xfId="44" applyNumberFormat="1" applyFont="1" applyFill="1" applyBorder="1" applyAlignment="1">
      <alignment horizontal="left" vertical="top" wrapText="1"/>
    </xf>
    <xf numFmtId="10" fontId="59" fillId="0" borderId="0" xfId="0" applyNumberFormat="1" applyFont="1" applyBorder="1"/>
    <xf numFmtId="9" fontId="66" fillId="0" borderId="0" xfId="46" applyFont="1" applyFill="1" applyBorder="1" applyAlignment="1">
      <alignment horizontal="right"/>
    </xf>
    <xf numFmtId="0" fontId="62" fillId="0" borderId="15" xfId="0" applyFont="1" applyFill="1" applyBorder="1" applyAlignment="1">
      <alignment horizontal="center" vertical="center" wrapText="1"/>
    </xf>
    <xf numFmtId="168" fontId="69" fillId="42" borderId="10" xfId="44" applyNumberFormat="1" applyFont="1" applyFill="1" applyBorder="1" applyAlignment="1">
      <alignment horizontal="left" vertical="top" wrapText="1"/>
    </xf>
    <xf numFmtId="0" fontId="62" fillId="36" borderId="15" xfId="0" applyFont="1" applyFill="1" applyBorder="1" applyAlignment="1">
      <alignment horizontal="center" vertical="center" textRotation="90"/>
    </xf>
    <xf numFmtId="168" fontId="68" fillId="39" borderId="10" xfId="44" applyNumberFormat="1" applyFont="1" applyFill="1" applyBorder="1" applyAlignment="1">
      <alignment horizontal="left" vertical="top" wrapText="1"/>
    </xf>
    <xf numFmtId="168" fontId="69" fillId="39" borderId="10" xfId="44" applyNumberFormat="1" applyFont="1" applyFill="1" applyBorder="1" applyAlignment="1">
      <alignment horizontal="left" vertical="top" wrapText="1"/>
    </xf>
    <xf numFmtId="4" fontId="67" fillId="39" borderId="10" xfId="0" applyNumberFormat="1" applyFont="1" applyFill="1" applyBorder="1" applyAlignment="1">
      <alignment horizontal="right"/>
    </xf>
    <xf numFmtId="4" fontId="67" fillId="39" borderId="10" xfId="44" applyNumberFormat="1" applyFont="1" applyFill="1" applyBorder="1" applyAlignment="1">
      <alignment horizontal="right"/>
    </xf>
    <xf numFmtId="175" fontId="59" fillId="0" borderId="0" xfId="0" applyNumberFormat="1" applyFont="1" applyBorder="1"/>
    <xf numFmtId="173" fontId="68" fillId="42" borderId="10" xfId="44" applyNumberFormat="1" applyFont="1" applyFill="1" applyBorder="1" applyAlignment="1">
      <alignment horizontal="left" vertical="top" wrapText="1"/>
    </xf>
    <xf numFmtId="167" fontId="68" fillId="42" borderId="10" xfId="44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 wrapText="1"/>
    </xf>
    <xf numFmtId="4" fontId="67" fillId="44" borderId="10" xfId="0" applyNumberFormat="1" applyFont="1" applyFill="1" applyBorder="1" applyAlignment="1">
      <alignment horizontal="right"/>
    </xf>
    <xf numFmtId="4" fontId="70" fillId="42" borderId="10" xfId="44" applyNumberFormat="1" applyFont="1" applyFill="1" applyBorder="1" applyAlignment="1">
      <alignment horizontal="right"/>
    </xf>
    <xf numFmtId="4" fontId="67" fillId="42" borderId="10" xfId="44" applyNumberFormat="1" applyFont="1" applyFill="1" applyBorder="1" applyAlignment="1">
      <alignment horizontal="right"/>
    </xf>
    <xf numFmtId="168" fontId="71" fillId="39" borderId="10" xfId="44" applyNumberFormat="1" applyFont="1" applyFill="1" applyBorder="1" applyAlignment="1">
      <alignment horizontal="left" vertical="top" wrapText="1"/>
    </xf>
    <xf numFmtId="168" fontId="36" fillId="39" borderId="10" xfId="44" applyNumberFormat="1" applyFont="1" applyFill="1" applyBorder="1" applyAlignment="1">
      <alignment horizontal="left" vertical="top" wrapText="1"/>
    </xf>
    <xf numFmtId="4" fontId="36" fillId="39" borderId="10" xfId="0" applyNumberFormat="1" applyFont="1" applyFill="1" applyBorder="1"/>
    <xf numFmtId="4" fontId="72" fillId="39" borderId="10" xfId="44" applyNumberFormat="1" applyFont="1" applyFill="1" applyBorder="1" applyAlignment="1">
      <alignment horizontal="right"/>
    </xf>
    <xf numFmtId="3" fontId="59" fillId="0" borderId="0" xfId="0" applyNumberFormat="1" applyFont="1" applyBorder="1"/>
    <xf numFmtId="168" fontId="73" fillId="42" borderId="10" xfId="44" applyNumberFormat="1" applyFont="1" applyFill="1" applyBorder="1" applyAlignment="1">
      <alignment horizontal="left" vertical="top" wrapText="1"/>
    </xf>
    <xf numFmtId="4" fontId="74" fillId="37" borderId="10" xfId="44" applyNumberFormat="1" applyFont="1" applyFill="1" applyBorder="1" applyAlignment="1">
      <alignment horizontal="right"/>
    </xf>
    <xf numFmtId="3" fontId="75" fillId="39" borderId="15" xfId="0" applyNumberFormat="1" applyFont="1" applyFill="1" applyBorder="1"/>
    <xf numFmtId="4" fontId="76" fillId="39" borderId="29" xfId="44" applyNumberFormat="1" applyFont="1" applyFill="1" applyBorder="1" applyAlignment="1">
      <alignment horizontal="right"/>
    </xf>
    <xf numFmtId="3" fontId="77" fillId="0" borderId="0" xfId="0" applyNumberFormat="1" applyFont="1" applyBorder="1"/>
    <xf numFmtId="9" fontId="59" fillId="0" borderId="0" xfId="46" applyFont="1" applyBorder="1"/>
    <xf numFmtId="176" fontId="59" fillId="0" borderId="0" xfId="46" applyNumberFormat="1" applyFont="1" applyBorder="1"/>
    <xf numFmtId="4" fontId="59" fillId="37" borderId="10" xfId="0" applyNumberFormat="1" applyFont="1" applyFill="1" applyBorder="1" applyAlignment="1">
      <alignment horizontal="right"/>
    </xf>
    <xf numFmtId="4" fontId="59" fillId="39" borderId="10" xfId="0" applyNumberFormat="1" applyFont="1" applyFill="1" applyBorder="1" applyAlignment="1">
      <alignment horizontal="right"/>
    </xf>
    <xf numFmtId="4" fontId="59" fillId="44" borderId="10" xfId="0" applyNumberFormat="1" applyFont="1" applyFill="1" applyBorder="1" applyAlignment="1">
      <alignment horizontal="right"/>
    </xf>
    <xf numFmtId="3" fontId="74" fillId="37" borderId="10" xfId="0" applyNumberFormat="1" applyFont="1" applyFill="1" applyBorder="1" applyAlignment="1">
      <alignment horizontal="right"/>
    </xf>
    <xf numFmtId="4" fontId="74" fillId="39" borderId="29" xfId="44" applyNumberFormat="1" applyFont="1" applyFill="1" applyBorder="1" applyAlignment="1">
      <alignment horizontal="right"/>
    </xf>
    <xf numFmtId="168" fontId="74" fillId="39" borderId="29" xfId="44" applyNumberFormat="1" applyFont="1" applyFill="1" applyBorder="1" applyAlignment="1">
      <alignment horizontal="right"/>
    </xf>
    <xf numFmtId="0" fontId="74" fillId="0" borderId="0" xfId="0" applyFont="1" applyBorder="1"/>
    <xf numFmtId="3" fontId="75" fillId="0" borderId="0" xfId="0" applyNumberFormat="1" applyFont="1" applyFill="1" applyBorder="1"/>
    <xf numFmtId="4" fontId="74" fillId="0" borderId="0" xfId="44" applyNumberFormat="1" applyFont="1" applyFill="1" applyBorder="1" applyAlignment="1">
      <alignment horizontal="right"/>
    </xf>
    <xf numFmtId="168" fontId="74" fillId="0" borderId="0" xfId="44" applyNumberFormat="1" applyFont="1" applyFill="1" applyBorder="1" applyAlignment="1">
      <alignment horizontal="right"/>
    </xf>
    <xf numFmtId="0" fontId="3" fillId="0" borderId="0" xfId="43" applyFont="1"/>
    <xf numFmtId="0" fontId="3" fillId="0" borderId="0" xfId="43" applyFont="1" applyAlignment="1">
      <alignment wrapText="1"/>
    </xf>
    <xf numFmtId="0" fontId="3" fillId="0" borderId="10" xfId="43" applyFont="1" applyBorder="1"/>
    <xf numFmtId="0" fontId="3" fillId="0" borderId="10" xfId="43" applyFont="1" applyBorder="1" applyAlignment="1"/>
    <xf numFmtId="0" fontId="3" fillId="0" borderId="10" xfId="43" applyFont="1" applyBorder="1" applyAlignment="1">
      <alignment horizontal="center"/>
    </xf>
    <xf numFmtId="0" fontId="3" fillId="0" borderId="0" xfId="43" applyFont="1" applyAlignment="1">
      <alignment horizontal="center"/>
    </xf>
    <xf numFmtId="165" fontId="3" fillId="28" borderId="10" xfId="43" applyNumberFormat="1" applyFont="1" applyFill="1" applyBorder="1" applyAlignment="1">
      <alignment horizontal="right"/>
    </xf>
    <xf numFmtId="3" fontId="3" fillId="0" borderId="0" xfId="43" applyNumberFormat="1" applyFont="1"/>
    <xf numFmtId="166" fontId="3" fillId="29" borderId="10" xfId="43" applyNumberFormat="1" applyFont="1" applyFill="1" applyBorder="1" applyAlignment="1">
      <alignment horizontal="right"/>
    </xf>
    <xf numFmtId="0" fontId="3" fillId="32" borderId="10" xfId="43" applyFont="1" applyFill="1" applyBorder="1" applyAlignment="1"/>
    <xf numFmtId="165" fontId="3" fillId="32" borderId="10" xfId="43" applyNumberFormat="1" applyFont="1" applyFill="1" applyBorder="1" applyAlignment="1">
      <alignment horizontal="right"/>
    </xf>
    <xf numFmtId="165" fontId="3" fillId="29" borderId="10" xfId="43" applyNumberFormat="1" applyFont="1" applyFill="1" applyBorder="1" applyAlignment="1">
      <alignment horizontal="right"/>
    </xf>
    <xf numFmtId="172" fontId="3" fillId="32" borderId="10" xfId="43" applyNumberFormat="1" applyFont="1" applyFill="1" applyBorder="1" applyAlignment="1">
      <alignment horizontal="right"/>
    </xf>
    <xf numFmtId="3" fontId="3" fillId="29" borderId="10" xfId="43" applyNumberFormat="1" applyFont="1" applyFill="1" applyBorder="1" applyAlignment="1">
      <alignment horizontal="right"/>
    </xf>
    <xf numFmtId="3" fontId="3" fillId="32" borderId="10" xfId="43" applyNumberFormat="1" applyFont="1" applyFill="1" applyBorder="1" applyAlignment="1">
      <alignment horizontal="right"/>
    </xf>
    <xf numFmtId="166" fontId="3" fillId="32" borderId="10" xfId="43" applyNumberFormat="1" applyFont="1" applyFill="1" applyBorder="1" applyAlignment="1">
      <alignment horizontal="right"/>
    </xf>
    <xf numFmtId="0" fontId="3" fillId="0" borderId="0" xfId="43" applyFont="1" applyBorder="1" applyAlignment="1">
      <alignment horizontal="center"/>
    </xf>
    <xf numFmtId="0" fontId="3" fillId="0" borderId="0" xfId="43" applyFont="1" applyBorder="1"/>
    <xf numFmtId="0" fontId="3" fillId="35" borderId="10" xfId="43" applyFont="1" applyFill="1" applyBorder="1" applyAlignment="1">
      <alignment horizontal="right"/>
    </xf>
    <xf numFmtId="172" fontId="3" fillId="0" borderId="0" xfId="43" applyNumberFormat="1" applyFont="1"/>
    <xf numFmtId="3" fontId="3" fillId="28" borderId="10" xfId="43" applyNumberFormat="1" applyFont="1" applyFill="1" applyBorder="1" applyAlignment="1"/>
    <xf numFmtId="3" fontId="3" fillId="28" borderId="10" xfId="43" applyNumberFormat="1" applyFont="1" applyFill="1" applyBorder="1" applyAlignment="1">
      <alignment horizontal="right"/>
    </xf>
    <xf numFmtId="3" fontId="3" fillId="32" borderId="10" xfId="43" applyNumberFormat="1" applyFont="1" applyFill="1" applyBorder="1" applyAlignment="1"/>
    <xf numFmtId="174" fontId="3" fillId="0" borderId="0" xfId="43" applyNumberFormat="1" applyFont="1"/>
    <xf numFmtId="0" fontId="3" fillId="41" borderId="0" xfId="43" applyFont="1" applyFill="1"/>
    <xf numFmtId="174" fontId="3" fillId="41" borderId="0" xfId="43" applyNumberFormat="1" applyFont="1" applyFill="1"/>
    <xf numFmtId="10" fontId="56" fillId="0" borderId="10" xfId="43" applyNumberFormat="1" applyFont="1" applyBorder="1"/>
    <xf numFmtId="2" fontId="39" fillId="0" borderId="0" xfId="43" applyNumberFormat="1" applyFont="1"/>
    <xf numFmtId="10" fontId="4" fillId="0" borderId="10" xfId="43" applyNumberFormat="1" applyFont="1" applyBorder="1"/>
    <xf numFmtId="2" fontId="3" fillId="0" borderId="0" xfId="43" applyNumberFormat="1" applyFont="1"/>
    <xf numFmtId="0" fontId="35" fillId="0" borderId="10" xfId="43" applyFont="1" applyBorder="1" applyAlignment="1">
      <alignment wrapText="1"/>
    </xf>
    <xf numFmtId="10" fontId="46" fillId="0" borderId="10" xfId="43" applyNumberFormat="1" applyFont="1" applyBorder="1"/>
    <xf numFmtId="3" fontId="3" fillId="0" borderId="10" xfId="43" applyNumberFormat="1" applyFont="1" applyBorder="1"/>
    <xf numFmtId="10" fontId="3" fillId="0" borderId="10" xfId="43" applyNumberFormat="1" applyFont="1" applyBorder="1"/>
    <xf numFmtId="0" fontId="3" fillId="0" borderId="10" xfId="43" applyFont="1" applyFill="1" applyBorder="1" applyAlignment="1"/>
    <xf numFmtId="0" fontId="78" fillId="0" borderId="10" xfId="43" applyFont="1" applyFill="1" applyBorder="1" applyAlignment="1"/>
    <xf numFmtId="9" fontId="78" fillId="0" borderId="10" xfId="43" applyNumberFormat="1" applyFont="1" applyBorder="1"/>
    <xf numFmtId="3" fontId="32" fillId="0" borderId="22" xfId="0" applyNumberFormat="1" applyFont="1" applyFill="1" applyBorder="1" applyAlignment="1">
      <alignment horizontal="right" vertical="center" wrapText="1" indent="3"/>
    </xf>
    <xf numFmtId="0" fontId="2" fillId="0" borderId="0" xfId="43" applyFont="1"/>
    <xf numFmtId="0" fontId="2" fillId="0" borderId="0" xfId="43" applyFont="1" applyAlignment="1">
      <alignment wrapText="1"/>
    </xf>
    <xf numFmtId="177" fontId="66" fillId="37" borderId="10" xfId="46" applyNumberFormat="1" applyFont="1" applyFill="1" applyBorder="1" applyAlignment="1">
      <alignment horizontal="right"/>
    </xf>
    <xf numFmtId="3" fontId="62" fillId="45" borderId="10" xfId="0" applyNumberFormat="1" applyFont="1" applyFill="1" applyBorder="1" applyAlignment="1"/>
    <xf numFmtId="177" fontId="66" fillId="45" borderId="10" xfId="46" applyNumberFormat="1" applyFont="1" applyFill="1" applyBorder="1" applyAlignment="1">
      <alignment horizontal="right"/>
    </xf>
    <xf numFmtId="0" fontId="62" fillId="45" borderId="10" xfId="0" applyFont="1" applyFill="1" applyBorder="1" applyAlignment="1">
      <alignment horizontal="center" vertical="center" wrapText="1"/>
    </xf>
    <xf numFmtId="0" fontId="66" fillId="45" borderId="10" xfId="0" applyFont="1" applyFill="1" applyBorder="1" applyAlignment="1"/>
    <xf numFmtId="3" fontId="61" fillId="45" borderId="10" xfId="0" applyNumberFormat="1" applyFont="1" applyFill="1" applyBorder="1"/>
    <xf numFmtId="0" fontId="62" fillId="45" borderId="10" xfId="0" applyFont="1" applyFill="1" applyBorder="1" applyAlignment="1">
      <alignment horizontal="center" vertical="center" textRotation="90"/>
    </xf>
    <xf numFmtId="9" fontId="62" fillId="0" borderId="0" xfId="46" applyFont="1" applyFill="1" applyBorder="1" applyAlignment="1"/>
    <xf numFmtId="0" fontId="1" fillId="0" borderId="0" xfId="47"/>
    <xf numFmtId="0" fontId="1" fillId="0" borderId="0" xfId="47" applyAlignment="1">
      <alignment wrapText="1"/>
    </xf>
    <xf numFmtId="3" fontId="1" fillId="0" borderId="0" xfId="47" applyNumberFormat="1"/>
    <xf numFmtId="0" fontId="37" fillId="0" borderId="10" xfId="47" applyFont="1" applyBorder="1" applyAlignment="1"/>
    <xf numFmtId="0" fontId="37" fillId="32" borderId="10" xfId="47" applyFont="1" applyFill="1" applyBorder="1" applyAlignment="1"/>
    <xf numFmtId="0" fontId="45" fillId="24" borderId="10" xfId="44" applyFont="1" applyFill="1" applyBorder="1" applyAlignment="1">
      <alignment horizontal="left" vertical="top" wrapText="1"/>
    </xf>
    <xf numFmtId="168" fontId="47" fillId="24" borderId="10" xfId="44" applyNumberFormat="1" applyFont="1" applyFill="1" applyBorder="1" applyAlignment="1">
      <alignment horizontal="left" vertical="top" wrapText="1"/>
    </xf>
    <xf numFmtId="168" fontId="49" fillId="24" borderId="10" xfId="44" applyNumberFormat="1" applyFont="1" applyFill="1" applyBorder="1" applyAlignment="1">
      <alignment horizontal="left" vertical="top" wrapText="1"/>
    </xf>
    <xf numFmtId="168" fontId="47" fillId="34" borderId="10" xfId="44" applyNumberFormat="1" applyFont="1" applyFill="1" applyBorder="1" applyAlignment="1">
      <alignment horizontal="left" vertical="top" wrapText="1"/>
    </xf>
    <xf numFmtId="168" fontId="49" fillId="34" borderId="10" xfId="44" applyNumberFormat="1" applyFont="1" applyFill="1" applyBorder="1" applyAlignment="1">
      <alignment horizontal="left" vertical="top" wrapText="1"/>
    </xf>
    <xf numFmtId="173" fontId="47" fillId="24" borderId="10" xfId="44" applyNumberFormat="1" applyFont="1" applyFill="1" applyBorder="1" applyAlignment="1">
      <alignment horizontal="left" vertical="top" wrapText="1"/>
    </xf>
    <xf numFmtId="167" fontId="47" fillId="24" borderId="10" xfId="44" applyNumberFormat="1" applyFont="1" applyFill="1" applyBorder="1" applyAlignment="1">
      <alignment horizontal="left" vertical="top" wrapText="1"/>
    </xf>
    <xf numFmtId="168" fontId="52" fillId="34" borderId="10" xfId="44" applyNumberFormat="1" applyFont="1" applyFill="1" applyBorder="1" applyAlignment="1">
      <alignment horizontal="left" vertical="top" wrapText="1"/>
    </xf>
    <xf numFmtId="4" fontId="39" fillId="0" borderId="0" xfId="47" applyNumberFormat="1" applyFont="1"/>
    <xf numFmtId="0" fontId="94" fillId="0" borderId="10" xfId="47" applyFont="1" applyBorder="1" applyAlignment="1">
      <alignment horizontal="center" vertical="center" wrapText="1"/>
    </xf>
    <xf numFmtId="3" fontId="95" fillId="28" borderId="10" xfId="47" applyNumberFormat="1" applyFont="1" applyFill="1" applyBorder="1" applyAlignment="1"/>
    <xf numFmtId="0" fontId="95" fillId="0" borderId="15" xfId="47" applyFont="1" applyFill="1" applyBorder="1" applyAlignment="1">
      <alignment horizontal="center" vertical="center" wrapText="1"/>
    </xf>
    <xf numFmtId="0" fontId="95" fillId="27" borderId="15" xfId="47" applyFont="1" applyFill="1" applyBorder="1" applyAlignment="1">
      <alignment horizontal="center" vertical="center" textRotation="90"/>
    </xf>
    <xf numFmtId="0" fontId="95" fillId="32" borderId="10" xfId="47" applyFont="1" applyFill="1" applyBorder="1" applyAlignment="1">
      <alignment horizontal="center" vertical="center" wrapText="1"/>
    </xf>
    <xf numFmtId="0" fontId="95" fillId="0" borderId="10" xfId="47" applyFont="1" applyFill="1" applyBorder="1" applyAlignment="1">
      <alignment horizontal="center" vertical="center" wrapText="1"/>
    </xf>
    <xf numFmtId="3" fontId="95" fillId="32" borderId="10" xfId="47" applyNumberFormat="1" applyFont="1" applyFill="1" applyBorder="1" applyAlignment="1"/>
    <xf numFmtId="3" fontId="94" fillId="32" borderId="10" xfId="47" applyNumberFormat="1" applyFont="1" applyFill="1" applyBorder="1"/>
    <xf numFmtId="0" fontId="37" fillId="0" borderId="10" xfId="47" applyFont="1" applyBorder="1"/>
    <xf numFmtId="0" fontId="37" fillId="0" borderId="10" xfId="47" applyFont="1" applyBorder="1" applyAlignment="1">
      <alignment horizontal="center"/>
    </xf>
    <xf numFmtId="0" fontId="95" fillId="32" borderId="10" xfId="47" applyFont="1" applyFill="1" applyBorder="1" applyAlignment="1">
      <alignment horizontal="center" vertical="center" textRotation="90"/>
    </xf>
    <xf numFmtId="9" fontId="1" fillId="0" borderId="0" xfId="48" applyFont="1"/>
    <xf numFmtId="0" fontId="43" fillId="24" borderId="15" xfId="44" applyFont="1" applyFill="1" applyBorder="1" applyAlignment="1">
      <alignment horizontal="left" vertical="top" wrapText="1"/>
    </xf>
    <xf numFmtId="0" fontId="1" fillId="0" borderId="15" xfId="47" applyBorder="1" applyAlignment="1">
      <alignment horizontal="center"/>
    </xf>
    <xf numFmtId="0" fontId="45" fillId="24" borderId="15" xfId="44" applyFont="1" applyFill="1" applyBorder="1" applyAlignment="1">
      <alignment horizontal="center"/>
    </xf>
    <xf numFmtId="0" fontId="1" fillId="0" borderId="25" xfId="47" applyBorder="1"/>
    <xf numFmtId="0" fontId="44" fillId="24" borderId="12" xfId="44" applyFont="1" applyFill="1" applyBorder="1" applyAlignment="1">
      <alignment horizontal="left" vertical="center" wrapText="1"/>
    </xf>
    <xf numFmtId="0" fontId="4" fillId="0" borderId="17" xfId="47" applyFont="1" applyBorder="1" applyAlignment="1">
      <alignment horizontal="center" vertical="top" wrapText="1"/>
    </xf>
    <xf numFmtId="0" fontId="45" fillId="24" borderId="17" xfId="44" applyFont="1" applyFill="1" applyBorder="1" applyAlignment="1">
      <alignment horizontal="left" vertical="top" wrapText="1"/>
    </xf>
    <xf numFmtId="0" fontId="1" fillId="0" borderId="28" xfId="47" applyBorder="1"/>
    <xf numFmtId="0" fontId="44" fillId="24" borderId="15" xfId="44" applyFont="1" applyFill="1" applyBorder="1" applyAlignment="1">
      <alignment horizontal="left" vertical="center" wrapText="1"/>
    </xf>
    <xf numFmtId="0" fontId="45" fillId="24" borderId="15" xfId="44" applyFont="1" applyFill="1" applyBorder="1" applyAlignment="1">
      <alignment horizontal="left" vertical="top" wrapText="1"/>
    </xf>
    <xf numFmtId="168" fontId="36" fillId="34" borderId="10" xfId="44" applyNumberFormat="1" applyFont="1" applyFill="1" applyBorder="1" applyAlignment="1">
      <alignment horizontal="left" vertical="top" wrapText="1"/>
    </xf>
    <xf numFmtId="9" fontId="37" fillId="28" borderId="10" xfId="48" applyFont="1" applyFill="1" applyBorder="1" applyAlignment="1">
      <alignment horizontal="right"/>
    </xf>
    <xf numFmtId="168" fontId="73" fillId="24" borderId="10" xfId="44" applyNumberFormat="1" applyFont="1" applyFill="1" applyBorder="1" applyAlignment="1">
      <alignment horizontal="left" vertical="top" wrapText="1"/>
    </xf>
    <xf numFmtId="4" fontId="40" fillId="28" borderId="10" xfId="44" applyNumberFormat="1" applyFont="1" applyFill="1" applyBorder="1" applyAlignment="1">
      <alignment horizontal="right"/>
    </xf>
    <xf numFmtId="3" fontId="75" fillId="32" borderId="15" xfId="47" applyNumberFormat="1" applyFont="1" applyFill="1" applyBorder="1"/>
    <xf numFmtId="3" fontId="96" fillId="0" borderId="0" xfId="47" applyNumberFormat="1" applyFont="1"/>
    <xf numFmtId="0" fontId="97" fillId="0" borderId="0" xfId="47" applyFont="1"/>
    <xf numFmtId="0" fontId="79" fillId="41" borderId="0" xfId="47" applyFont="1" applyFill="1"/>
    <xf numFmtId="4" fontId="98" fillId="34" borderId="29" xfId="44" applyNumberFormat="1" applyFont="1" applyFill="1" applyBorder="1" applyAlignment="1">
      <alignment horizontal="right"/>
    </xf>
    <xf numFmtId="4" fontId="1" fillId="0" borderId="0" xfId="47" applyNumberFormat="1"/>
    <xf numFmtId="4" fontId="40" fillId="29" borderId="10" xfId="47" applyNumberFormat="1" applyFont="1" applyFill="1" applyBorder="1" applyAlignment="1">
      <alignment horizontal="right"/>
    </xf>
    <xf numFmtId="4" fontId="40" fillId="32" borderId="10" xfId="47" applyNumberFormat="1" applyFont="1" applyFill="1" applyBorder="1" applyAlignment="1">
      <alignment horizontal="right"/>
    </xf>
    <xf numFmtId="4" fontId="40" fillId="35" borderId="10" xfId="47" applyNumberFormat="1" applyFont="1" applyFill="1" applyBorder="1" applyAlignment="1">
      <alignment horizontal="right"/>
    </xf>
    <xf numFmtId="4" fontId="75" fillId="32" borderId="10" xfId="47" applyNumberFormat="1" applyFont="1" applyFill="1" applyBorder="1"/>
    <xf numFmtId="0" fontId="99" fillId="24" borderId="19" xfId="44" applyFont="1" applyFill="1" applyBorder="1" applyAlignment="1">
      <alignment horizontal="center" vertical="center" wrapText="1"/>
    </xf>
    <xf numFmtId="0" fontId="99" fillId="24" borderId="10" xfId="44" applyFont="1" applyFill="1" applyBorder="1" applyAlignment="1">
      <alignment horizontal="center" vertical="center" wrapText="1"/>
    </xf>
    <xf numFmtId="0" fontId="99" fillId="24" borderId="20" xfId="44" applyFont="1" applyFill="1" applyBorder="1" applyAlignment="1">
      <alignment horizontal="center" vertical="center" wrapText="1"/>
    </xf>
    <xf numFmtId="3" fontId="73" fillId="29" borderId="10" xfId="42" applyNumberFormat="1" applyFont="1" applyFill="1" applyBorder="1" applyAlignment="1">
      <alignment horizontal="right"/>
    </xf>
    <xf numFmtId="4" fontId="40" fillId="34" borderId="10" xfId="44" applyNumberFormat="1" applyFont="1" applyFill="1" applyBorder="1" applyAlignment="1">
      <alignment horizontal="right"/>
    </xf>
    <xf numFmtId="166" fontId="73" fillId="29" borderId="10" xfId="42" applyNumberFormat="1" applyFont="1" applyFill="1" applyBorder="1" applyAlignment="1">
      <alignment horizontal="right"/>
    </xf>
    <xf numFmtId="4" fontId="98" fillId="34" borderId="10" xfId="44" applyNumberFormat="1" applyFont="1" applyFill="1" applyBorder="1" applyAlignment="1">
      <alignment horizontal="right"/>
    </xf>
    <xf numFmtId="167" fontId="40" fillId="28" borderId="39" xfId="44" applyNumberFormat="1" applyFont="1" applyFill="1" applyBorder="1" applyAlignment="1">
      <alignment horizontal="right" vertical="top" wrapText="1"/>
    </xf>
    <xf numFmtId="4" fontId="40" fillId="24" borderId="10" xfId="44" applyNumberFormat="1" applyFont="1" applyFill="1" applyBorder="1" applyAlignment="1">
      <alignment horizontal="right"/>
    </xf>
    <xf numFmtId="9" fontId="37" fillId="34" borderId="10" xfId="48" applyFont="1" applyFill="1" applyBorder="1" applyAlignment="1">
      <alignment horizontal="right"/>
    </xf>
    <xf numFmtId="0" fontId="28" fillId="24" borderId="0" xfId="0" applyFont="1" applyFill="1" applyBorder="1" applyAlignment="1" applyProtection="1">
      <alignment horizontal="left" vertical="top" wrapText="1"/>
    </xf>
    <xf numFmtId="3" fontId="32" fillId="26" borderId="40" xfId="0" applyNumberFormat="1" applyFont="1" applyFill="1" applyBorder="1" applyAlignment="1">
      <alignment horizontal="right" vertical="center" wrapText="1" indent="3"/>
    </xf>
    <xf numFmtId="3" fontId="32" fillId="0" borderId="40" xfId="0" applyNumberFormat="1" applyFont="1" applyFill="1" applyBorder="1" applyAlignment="1">
      <alignment horizontal="right" vertical="center" wrapText="1" indent="3"/>
    </xf>
    <xf numFmtId="0" fontId="29" fillId="0" borderId="21" xfId="0" applyNumberFormat="1" applyFont="1" applyFill="1" applyBorder="1" applyAlignment="1">
      <alignment horizontal="left" vertical="center" wrapText="1"/>
    </xf>
    <xf numFmtId="0" fontId="29" fillId="0" borderId="41" xfId="0" applyNumberFormat="1" applyFont="1" applyFill="1" applyBorder="1" applyAlignment="1">
      <alignment horizontal="left" vertical="center" wrapText="1"/>
    </xf>
    <xf numFmtId="3" fontId="32" fillId="0" borderId="42" xfId="0" applyNumberFormat="1" applyFont="1" applyFill="1" applyBorder="1" applyAlignment="1">
      <alignment horizontal="right" vertical="center" wrapText="1" indent="3"/>
    </xf>
    <xf numFmtId="3" fontId="32" fillId="0" borderId="43" xfId="0" applyNumberFormat="1" applyFont="1" applyFill="1" applyBorder="1" applyAlignment="1">
      <alignment horizontal="right" vertical="center" wrapText="1" indent="3"/>
    </xf>
    <xf numFmtId="0" fontId="62" fillId="0" borderId="19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36" borderId="28" xfId="0" applyFont="1" applyFill="1" applyBorder="1" applyAlignment="1">
      <alignment horizontal="center" vertical="center" textRotation="90"/>
    </xf>
    <xf numFmtId="0" fontId="66" fillId="36" borderId="14" xfId="0" applyFont="1" applyFill="1" applyBorder="1" applyAlignment="1">
      <alignment horizontal="center" vertical="center" textRotation="90"/>
    </xf>
    <xf numFmtId="0" fontId="66" fillId="0" borderId="2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5" fillId="42" borderId="10" xfId="44" applyFont="1" applyFill="1" applyBorder="1" applyAlignment="1">
      <alignment horizontal="left" wrapText="1"/>
    </xf>
    <xf numFmtId="0" fontId="62" fillId="38" borderId="28" xfId="0" applyFont="1" applyFill="1" applyBorder="1" applyAlignment="1">
      <alignment horizontal="center" vertical="center" wrapText="1"/>
    </xf>
    <xf numFmtId="0" fontId="62" fillId="38" borderId="14" xfId="0" applyFont="1" applyFill="1" applyBorder="1" applyAlignment="1">
      <alignment horizontal="center" vertical="center" wrapText="1"/>
    </xf>
    <xf numFmtId="0" fontId="62" fillId="38" borderId="15" xfId="0" applyFont="1" applyFill="1" applyBorder="1" applyAlignment="1">
      <alignment horizontal="center" vertical="center" wrapText="1"/>
    </xf>
    <xf numFmtId="168" fontId="68" fillId="38" borderId="10" xfId="44" applyNumberFormat="1" applyFont="1" applyFill="1" applyBorder="1" applyAlignment="1">
      <alignment horizontal="left" wrapText="1"/>
    </xf>
    <xf numFmtId="0" fontId="62" fillId="40" borderId="28" xfId="0" applyFont="1" applyFill="1" applyBorder="1" applyAlignment="1">
      <alignment horizontal="center" vertical="center" textRotation="90"/>
    </xf>
    <xf numFmtId="0" fontId="62" fillId="40" borderId="14" xfId="0" applyFont="1" applyFill="1" applyBorder="1" applyAlignment="1">
      <alignment horizontal="center" vertical="center" textRotation="90"/>
    </xf>
    <xf numFmtId="0" fontId="66" fillId="0" borderId="14" xfId="0" applyFont="1" applyBorder="1" applyAlignment="1">
      <alignment horizontal="center" vertical="center" textRotation="90"/>
    </xf>
    <xf numFmtId="0" fontId="66" fillId="0" borderId="15" xfId="0" applyFont="1" applyBorder="1" applyAlignment="1">
      <alignment horizontal="center" vertical="center" textRotation="90"/>
    </xf>
    <xf numFmtId="0" fontId="66" fillId="0" borderId="10" xfId="0" applyFont="1" applyBorder="1" applyAlignment="1">
      <alignment horizontal="center" vertical="center" wrapText="1"/>
    </xf>
    <xf numFmtId="168" fontId="68" fillId="42" borderId="10" xfId="44" applyNumberFormat="1" applyFont="1" applyFill="1" applyBorder="1" applyAlignment="1">
      <alignment horizontal="left" wrapText="1"/>
    </xf>
    <xf numFmtId="0" fontId="62" fillId="38" borderId="10" xfId="0" applyFont="1" applyFill="1" applyBorder="1" applyAlignment="1">
      <alignment horizontal="center" vertical="center" wrapText="1"/>
    </xf>
    <xf numFmtId="0" fontId="4" fillId="0" borderId="19" xfId="43" applyFont="1" applyBorder="1" applyAlignment="1">
      <alignment horizontal="center" vertical="top" wrapText="1"/>
    </xf>
    <xf numFmtId="0" fontId="4" fillId="0" borderId="13" xfId="43" applyFont="1" applyBorder="1" applyAlignment="1">
      <alignment horizontal="center" vertical="top" wrapText="1"/>
    </xf>
    <xf numFmtId="0" fontId="41" fillId="27" borderId="28" xfId="43" applyFont="1" applyFill="1" applyBorder="1" applyAlignment="1">
      <alignment horizontal="center" vertical="center" textRotation="90"/>
    </xf>
    <xf numFmtId="0" fontId="41" fillId="27" borderId="14" xfId="43" applyFont="1" applyFill="1" applyBorder="1" applyAlignment="1">
      <alignment horizontal="center" vertical="center" textRotation="90"/>
    </xf>
    <xf numFmtId="0" fontId="3" fillId="0" borderId="28" xfId="43" applyFont="1" applyBorder="1" applyAlignment="1">
      <alignment horizontal="center" vertical="center" wrapText="1"/>
    </xf>
    <xf numFmtId="0" fontId="3" fillId="0" borderId="14" xfId="43" applyFont="1" applyBorder="1" applyAlignment="1">
      <alignment horizontal="center" vertical="center" wrapText="1"/>
    </xf>
    <xf numFmtId="0" fontId="3" fillId="0" borderId="15" xfId="43" applyFont="1" applyBorder="1" applyAlignment="1">
      <alignment horizontal="center" vertical="center" wrapText="1"/>
    </xf>
    <xf numFmtId="0" fontId="45" fillId="24" borderId="28" xfId="44" applyFont="1" applyFill="1" applyBorder="1" applyAlignment="1">
      <alignment horizontal="left" wrapText="1"/>
    </xf>
    <xf numFmtId="0" fontId="45" fillId="24" borderId="14" xfId="44" applyFont="1" applyFill="1" applyBorder="1" applyAlignment="1">
      <alignment horizontal="left" wrapText="1"/>
    </xf>
    <xf numFmtId="0" fontId="45" fillId="24" borderId="15" xfId="44" applyFont="1" applyFill="1" applyBorder="1" applyAlignment="1">
      <alignment horizontal="left" wrapText="1"/>
    </xf>
    <xf numFmtId="0" fontId="4" fillId="30" borderId="28" xfId="43" applyFont="1" applyFill="1" applyBorder="1" applyAlignment="1">
      <alignment horizontal="center" vertical="center" wrapText="1"/>
    </xf>
    <xf numFmtId="0" fontId="4" fillId="30" borderId="14" xfId="43" applyFont="1" applyFill="1" applyBorder="1" applyAlignment="1">
      <alignment horizontal="center" vertical="center" wrapText="1"/>
    </xf>
    <xf numFmtId="0" fontId="4" fillId="30" borderId="15" xfId="43" applyFont="1" applyFill="1" applyBorder="1" applyAlignment="1">
      <alignment horizontal="center" vertical="center" wrapText="1"/>
    </xf>
    <xf numFmtId="168" fontId="47" fillId="31" borderId="28" xfId="44" applyNumberFormat="1" applyFont="1" applyFill="1" applyBorder="1" applyAlignment="1">
      <alignment horizontal="left" wrapText="1"/>
    </xf>
    <xf numFmtId="168" fontId="47" fillId="31" borderId="14" xfId="44" applyNumberFormat="1" applyFont="1" applyFill="1" applyBorder="1" applyAlignment="1">
      <alignment horizontal="left" wrapText="1"/>
    </xf>
    <xf numFmtId="168" fontId="47" fillId="31" borderId="15" xfId="44" applyNumberFormat="1" applyFont="1" applyFill="1" applyBorder="1" applyAlignment="1">
      <alignment horizontal="left" wrapText="1"/>
    </xf>
    <xf numFmtId="0" fontId="41" fillId="33" borderId="28" xfId="43" applyFont="1" applyFill="1" applyBorder="1" applyAlignment="1">
      <alignment horizontal="center" vertical="center" textRotation="90"/>
    </xf>
    <xf numFmtId="0" fontId="41" fillId="33" borderId="14" xfId="43" applyFont="1" applyFill="1" applyBorder="1" applyAlignment="1">
      <alignment horizontal="center" vertical="center" textRotation="90"/>
    </xf>
    <xf numFmtId="0" fontId="41" fillId="33" borderId="15" xfId="43" applyFont="1" applyFill="1" applyBorder="1" applyAlignment="1">
      <alignment horizontal="center" vertical="center" textRotation="90"/>
    </xf>
    <xf numFmtId="168" fontId="47" fillId="24" borderId="28" xfId="44" applyNumberFormat="1" applyFont="1" applyFill="1" applyBorder="1" applyAlignment="1">
      <alignment horizontal="left" wrapText="1"/>
    </xf>
    <xf numFmtId="168" fontId="47" fillId="24" borderId="14" xfId="44" applyNumberFormat="1" applyFont="1" applyFill="1" applyBorder="1" applyAlignment="1">
      <alignment horizontal="left" wrapText="1"/>
    </xf>
    <xf numFmtId="168" fontId="47" fillId="24" borderId="15" xfId="44" applyNumberFormat="1" applyFont="1" applyFill="1" applyBorder="1" applyAlignment="1">
      <alignment horizontal="left" wrapText="1"/>
    </xf>
    <xf numFmtId="0" fontId="41" fillId="36" borderId="28" xfId="43" applyFont="1" applyFill="1" applyBorder="1" applyAlignment="1">
      <alignment horizontal="center" vertical="center" textRotation="90"/>
    </xf>
    <xf numFmtId="0" fontId="41" fillId="36" borderId="14" xfId="43" applyFont="1" applyFill="1" applyBorder="1" applyAlignment="1">
      <alignment horizontal="center" vertical="center" textRotation="90"/>
    </xf>
    <xf numFmtId="0" fontId="51" fillId="0" borderId="28" xfId="43" applyFont="1" applyBorder="1" applyAlignment="1">
      <alignment horizontal="center" vertical="center" wrapText="1"/>
    </xf>
    <xf numFmtId="0" fontId="51" fillId="0" borderId="14" xfId="43" applyFont="1" applyBorder="1" applyAlignment="1">
      <alignment horizontal="center" vertical="center" wrapText="1"/>
    </xf>
    <xf numFmtId="0" fontId="51" fillId="0" borderId="15" xfId="43" applyFont="1" applyBorder="1" applyAlignment="1">
      <alignment horizontal="center" vertical="center" wrapText="1"/>
    </xf>
    <xf numFmtId="0" fontId="4" fillId="38" borderId="28" xfId="43" applyFont="1" applyFill="1" applyBorder="1" applyAlignment="1">
      <alignment horizontal="center" vertical="center" wrapText="1"/>
    </xf>
    <xf numFmtId="0" fontId="4" fillId="38" borderId="14" xfId="43" applyFont="1" applyFill="1" applyBorder="1" applyAlignment="1">
      <alignment horizontal="center" vertical="center" wrapText="1"/>
    </xf>
    <xf numFmtId="0" fontId="4" fillId="38" borderId="15" xfId="43" applyFont="1" applyFill="1" applyBorder="1" applyAlignment="1">
      <alignment horizontal="center" vertical="center" wrapText="1"/>
    </xf>
    <xf numFmtId="0" fontId="41" fillId="40" borderId="28" xfId="43" applyFont="1" applyFill="1" applyBorder="1" applyAlignment="1">
      <alignment horizontal="center" vertical="center" textRotation="90"/>
    </xf>
    <xf numFmtId="0" fontId="41" fillId="40" borderId="14" xfId="43" applyFont="1" applyFill="1" applyBorder="1" applyAlignment="1">
      <alignment horizontal="center" vertical="center" textRotation="90"/>
    </xf>
    <xf numFmtId="0" fontId="41" fillId="40" borderId="15" xfId="43" applyFont="1" applyFill="1" applyBorder="1" applyAlignment="1">
      <alignment horizontal="center" vertical="center" textRotation="90"/>
    </xf>
    <xf numFmtId="0" fontId="3" fillId="0" borderId="16" xfId="43" applyFont="1" applyBorder="1" applyAlignment="1"/>
    <xf numFmtId="0" fontId="95" fillId="0" borderId="19" xfId="47" applyFont="1" applyBorder="1" applyAlignment="1">
      <alignment horizontal="center" vertical="top" wrapText="1"/>
    </xf>
    <xf numFmtId="0" fontId="95" fillId="0" borderId="13" xfId="47" applyFont="1" applyBorder="1" applyAlignment="1">
      <alignment horizontal="center" vertical="top" wrapText="1"/>
    </xf>
    <xf numFmtId="0" fontId="95" fillId="27" borderId="28" xfId="47" applyFont="1" applyFill="1" applyBorder="1" applyAlignment="1">
      <alignment horizontal="center" vertical="center" textRotation="90"/>
    </xf>
    <xf numFmtId="0" fontId="37" fillId="27" borderId="14" xfId="47" applyFont="1" applyFill="1" applyBorder="1" applyAlignment="1">
      <alignment horizontal="center" vertical="center" textRotation="90"/>
    </xf>
    <xf numFmtId="0" fontId="37" fillId="0" borderId="28" xfId="47" applyFont="1" applyBorder="1" applyAlignment="1">
      <alignment horizontal="center" vertical="center" wrapText="1"/>
    </xf>
    <xf numFmtId="0" fontId="37" fillId="0" borderId="14" xfId="47" applyFont="1" applyBorder="1" applyAlignment="1">
      <alignment horizontal="center" vertical="center" wrapText="1"/>
    </xf>
    <xf numFmtId="0" fontId="37" fillId="0" borderId="15" xfId="47" applyFont="1" applyBorder="1" applyAlignment="1">
      <alignment horizontal="center" vertical="center" wrapText="1"/>
    </xf>
    <xf numFmtId="0" fontId="45" fillId="24" borderId="10" xfId="44" applyFont="1" applyFill="1" applyBorder="1" applyAlignment="1">
      <alignment horizontal="left" wrapText="1"/>
    </xf>
    <xf numFmtId="0" fontId="95" fillId="30" borderId="28" xfId="47" applyFont="1" applyFill="1" applyBorder="1" applyAlignment="1">
      <alignment horizontal="center" vertical="center" wrapText="1"/>
    </xf>
    <xf numFmtId="0" fontId="95" fillId="30" borderId="14" xfId="47" applyFont="1" applyFill="1" applyBorder="1" applyAlignment="1">
      <alignment horizontal="center" vertical="center" wrapText="1"/>
    </xf>
    <xf numFmtId="0" fontId="95" fillId="30" borderId="15" xfId="47" applyFont="1" applyFill="1" applyBorder="1" applyAlignment="1">
      <alignment horizontal="center" vertical="center" wrapText="1"/>
    </xf>
    <xf numFmtId="168" fontId="47" fillId="31" borderId="10" xfId="44" applyNumberFormat="1" applyFont="1" applyFill="1" applyBorder="1" applyAlignment="1">
      <alignment horizontal="left" wrapText="1"/>
    </xf>
    <xf numFmtId="0" fontId="95" fillId="33" borderId="28" xfId="47" applyFont="1" applyFill="1" applyBorder="1" applyAlignment="1">
      <alignment horizontal="center" vertical="center" textRotation="90"/>
    </xf>
    <xf numFmtId="0" fontId="95" fillId="33" borderId="14" xfId="47" applyFont="1" applyFill="1" applyBorder="1" applyAlignment="1">
      <alignment horizontal="center" vertical="center" textRotation="90"/>
    </xf>
    <xf numFmtId="0" fontId="37" fillId="0" borderId="14" xfId="47" applyFont="1" applyBorder="1" applyAlignment="1">
      <alignment horizontal="center" vertical="center" textRotation="90"/>
    </xf>
    <xf numFmtId="0" fontId="37" fillId="0" borderId="15" xfId="47" applyFont="1" applyBorder="1" applyAlignment="1">
      <alignment horizontal="center" vertical="center" textRotation="90"/>
    </xf>
    <xf numFmtId="0" fontId="37" fillId="0" borderId="10" xfId="47" applyFont="1" applyBorder="1" applyAlignment="1">
      <alignment horizontal="center" vertical="center" wrapText="1"/>
    </xf>
    <xf numFmtId="168" fontId="47" fillId="24" borderId="10" xfId="44" applyNumberFormat="1" applyFont="1" applyFill="1" applyBorder="1" applyAlignment="1">
      <alignment horizontal="left" wrapText="1"/>
    </xf>
    <xf numFmtId="0" fontId="95" fillId="30" borderId="10" xfId="47" applyFont="1" applyFill="1" applyBorder="1" applyAlignment="1">
      <alignment horizontal="center" vertical="center" wrapText="1"/>
    </xf>
    <xf numFmtId="0" fontId="38" fillId="0" borderId="16" xfId="43" applyBorder="1" applyAlignment="1"/>
    <xf numFmtId="0" fontId="38" fillId="0" borderId="13" xfId="43" applyBorder="1" applyAlignment="1">
      <alignment horizontal="center" vertical="top" wrapText="1"/>
    </xf>
    <xf numFmtId="0" fontId="38" fillId="27" borderId="14" xfId="43" applyFill="1" applyBorder="1" applyAlignment="1">
      <alignment horizontal="center" vertical="center" textRotation="90"/>
    </xf>
    <xf numFmtId="0" fontId="38" fillId="0" borderId="28" xfId="43" applyBorder="1" applyAlignment="1">
      <alignment horizontal="center" vertical="center" wrapText="1"/>
    </xf>
    <xf numFmtId="0" fontId="38" fillId="0" borderId="14" xfId="43" applyBorder="1" applyAlignment="1">
      <alignment horizontal="center" vertical="center" wrapText="1"/>
    </xf>
    <xf numFmtId="0" fontId="38" fillId="0" borderId="15" xfId="43" applyBorder="1" applyAlignment="1">
      <alignment horizontal="center" vertical="center" wrapText="1"/>
    </xf>
    <xf numFmtId="0" fontId="41" fillId="33" borderId="10" xfId="43" applyFont="1" applyFill="1" applyBorder="1" applyAlignment="1">
      <alignment horizontal="center" vertical="center" textRotation="90"/>
    </xf>
    <xf numFmtId="0" fontId="38" fillId="0" borderId="10" xfId="43" applyBorder="1" applyAlignment="1">
      <alignment horizontal="center" vertical="center" textRotation="90"/>
    </xf>
    <xf numFmtId="0" fontId="38" fillId="0" borderId="10" xfId="43" applyBorder="1" applyAlignment="1">
      <alignment horizontal="center" vertical="center" wrapText="1"/>
    </xf>
    <xf numFmtId="0" fontId="4" fillId="30" borderId="10" xfId="43" applyFont="1" applyFill="1" applyBorder="1" applyAlignment="1">
      <alignment horizontal="center" vertical="center" wrapText="1"/>
    </xf>
    <xf numFmtId="0" fontId="51" fillId="36" borderId="14" xfId="43" applyFont="1" applyFill="1" applyBorder="1" applyAlignment="1">
      <alignment horizontal="center" vertical="center" textRotation="90"/>
    </xf>
    <xf numFmtId="0" fontId="51" fillId="0" borderId="14" xfId="43" applyFont="1" applyBorder="1" applyAlignment="1">
      <alignment horizontal="center" vertical="center" textRotation="90"/>
    </xf>
    <xf numFmtId="0" fontId="51" fillId="0" borderId="15" xfId="43" applyFont="1" applyBorder="1" applyAlignment="1">
      <alignment horizontal="center" vertical="center" textRotation="90"/>
    </xf>
    <xf numFmtId="0" fontId="51" fillId="0" borderId="10" xfId="43" applyFont="1" applyBorder="1" applyAlignment="1">
      <alignment horizontal="center" vertical="center" wrapText="1"/>
    </xf>
    <xf numFmtId="0" fontId="4" fillId="38" borderId="10" xfId="43" applyFont="1" applyFill="1" applyBorder="1" applyAlignment="1">
      <alignment horizontal="center" vertical="center" wrapText="1"/>
    </xf>
    <xf numFmtId="0" fontId="51" fillId="0" borderId="13" xfId="43" applyFont="1" applyBorder="1" applyAlignment="1">
      <alignment horizontal="center" vertical="top" wrapText="1"/>
    </xf>
    <xf numFmtId="0" fontId="38" fillId="0" borderId="14" xfId="43" applyBorder="1" applyAlignment="1">
      <alignment horizontal="center" vertical="center" textRotation="90"/>
    </xf>
    <xf numFmtId="0" fontId="38" fillId="0" borderId="15" xfId="43" applyBorder="1" applyAlignment="1">
      <alignment horizontal="center" vertical="center" textRotation="90"/>
    </xf>
    <xf numFmtId="0" fontId="30" fillId="24" borderId="10" xfId="0" applyFont="1" applyFill="1" applyBorder="1" applyAlignment="1" applyProtection="1">
      <alignment horizontal="left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/>
      <protection locked="0"/>
    </xf>
    <xf numFmtId="0" fontId="30" fillId="24" borderId="19" xfId="0" applyFont="1" applyFill="1" applyBorder="1" applyAlignment="1" applyProtection="1">
      <alignment horizontal="left" vertical="center"/>
      <protection locked="0"/>
    </xf>
    <xf numFmtId="0" fontId="30" fillId="24" borderId="20" xfId="0" applyFont="1" applyFill="1" applyBorder="1" applyAlignment="1" applyProtection="1">
      <alignment horizontal="left" vertical="center"/>
      <protection locked="0"/>
    </xf>
    <xf numFmtId="0" fontId="30" fillId="24" borderId="13" xfId="0" applyFont="1" applyFill="1" applyBorder="1" applyAlignment="1" applyProtection="1">
      <alignment horizontal="left" vertical="center"/>
      <protection locked="0"/>
    </xf>
    <xf numFmtId="0" fontId="34" fillId="25" borderId="19" xfId="0" applyFont="1" applyFill="1" applyBorder="1" applyAlignment="1">
      <alignment horizontal="center" vertical="center"/>
    </xf>
    <xf numFmtId="0" fontId="34" fillId="25" borderId="20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</cellXfs>
  <cellStyles count="9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 2" xfId="67" xr:uid="{00000000-0005-0000-0000-000006000000}"/>
    <cellStyle name="20% - Akzent2 2" xfId="71" xr:uid="{00000000-0005-0000-0000-000007000000}"/>
    <cellStyle name="20% - Akzent3 2" xfId="75" xr:uid="{00000000-0005-0000-0000-000008000000}"/>
    <cellStyle name="20% - Akzent4 2" xfId="79" xr:uid="{00000000-0005-0000-0000-000009000000}"/>
    <cellStyle name="20% - Akzent5 2" xfId="83" xr:uid="{00000000-0005-0000-0000-00000A000000}"/>
    <cellStyle name="20% - Akzent6 2" xfId="87" xr:uid="{00000000-0005-0000-0000-00000B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0% - Akzent1 2" xfId="68" xr:uid="{00000000-0005-0000-0000-000012000000}"/>
    <cellStyle name="40% - Akzent2 2" xfId="72" xr:uid="{00000000-0005-0000-0000-000013000000}"/>
    <cellStyle name="40% - Akzent3 2" xfId="76" xr:uid="{00000000-0005-0000-0000-000014000000}"/>
    <cellStyle name="40% - Akzent4 2" xfId="80" xr:uid="{00000000-0005-0000-0000-000015000000}"/>
    <cellStyle name="40% - Akzent5 2" xfId="84" xr:uid="{00000000-0005-0000-0000-000016000000}"/>
    <cellStyle name="40% - Akzent6 2" xfId="88" xr:uid="{00000000-0005-0000-0000-000017000000}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0% - Akzent1 2" xfId="69" xr:uid="{00000000-0005-0000-0000-00001E000000}"/>
    <cellStyle name="60% - Akzent2 2" xfId="73" xr:uid="{00000000-0005-0000-0000-00001F000000}"/>
    <cellStyle name="60% - Akzent3 2" xfId="77" xr:uid="{00000000-0005-0000-0000-000020000000}"/>
    <cellStyle name="60% - Akzent4 2" xfId="81" xr:uid="{00000000-0005-0000-0000-000021000000}"/>
    <cellStyle name="60% - Akzent5 2" xfId="85" xr:uid="{00000000-0005-0000-0000-000022000000}"/>
    <cellStyle name="60% - Akzent6 2" xfId="89" xr:uid="{00000000-0005-0000-0000-000023000000}"/>
    <cellStyle name="Akzent1" xfId="19" builtinId="29" customBuiltin="1"/>
    <cellStyle name="Akzent1 2" xfId="66" xr:uid="{00000000-0005-0000-0000-000025000000}"/>
    <cellStyle name="Akzent2" xfId="20" builtinId="33" customBuiltin="1"/>
    <cellStyle name="Akzent2 2" xfId="70" xr:uid="{00000000-0005-0000-0000-000027000000}"/>
    <cellStyle name="Akzent3" xfId="21" builtinId="37" customBuiltin="1"/>
    <cellStyle name="Akzent3 2" xfId="74" xr:uid="{00000000-0005-0000-0000-000029000000}"/>
    <cellStyle name="Akzent4" xfId="22" builtinId="41" customBuiltin="1"/>
    <cellStyle name="Akzent4 2" xfId="78" xr:uid="{00000000-0005-0000-0000-00002B000000}"/>
    <cellStyle name="Akzent5" xfId="23" builtinId="45" customBuiltin="1"/>
    <cellStyle name="Akzent5 2" xfId="82" xr:uid="{00000000-0005-0000-0000-00002D000000}"/>
    <cellStyle name="Akzent6" xfId="24" builtinId="49" customBuiltin="1"/>
    <cellStyle name="Akzent6 2" xfId="86" xr:uid="{00000000-0005-0000-0000-00002F000000}"/>
    <cellStyle name="Ausgabe" xfId="25" builtinId="21" customBuiltin="1"/>
    <cellStyle name="Ausgabe 2" xfId="58" xr:uid="{00000000-0005-0000-0000-000031000000}"/>
    <cellStyle name="Berechnung" xfId="26" builtinId="22" customBuiltin="1"/>
    <cellStyle name="Berechnung 2" xfId="59" xr:uid="{00000000-0005-0000-0000-000033000000}"/>
    <cellStyle name="Eingabe" xfId="27" builtinId="20" customBuiltin="1"/>
    <cellStyle name="Eingabe 2" xfId="57" xr:uid="{00000000-0005-0000-0000-000035000000}"/>
    <cellStyle name="Ergebnis" xfId="28" builtinId="25" customBuiltin="1"/>
    <cellStyle name="Ergebnis 2" xfId="65" xr:uid="{00000000-0005-0000-0000-000037000000}"/>
    <cellStyle name="Erklärender Text" xfId="29" builtinId="53" customBuiltin="1"/>
    <cellStyle name="Erklärender Text 2" xfId="64" xr:uid="{00000000-0005-0000-0000-000039000000}"/>
    <cellStyle name="Gut" xfId="30" builtinId="26" customBuiltin="1"/>
    <cellStyle name="Gut 2" xfId="54" xr:uid="{00000000-0005-0000-0000-00003B000000}"/>
    <cellStyle name="Neutral" xfId="31" builtinId="28" customBuiltin="1"/>
    <cellStyle name="Neutral 2" xfId="56" xr:uid="{00000000-0005-0000-0000-00003D000000}"/>
    <cellStyle name="Notiz" xfId="32" builtinId="10" customBuiltin="1"/>
    <cellStyle name="Notiz 2" xfId="63" xr:uid="{00000000-0005-0000-0000-00003F000000}"/>
    <cellStyle name="Prozent" xfId="46" builtinId="5"/>
    <cellStyle name="Prozent 2" xfId="45" xr:uid="{00000000-0005-0000-0000-000041000000}"/>
    <cellStyle name="Prozent 2 2" xfId="90" xr:uid="{00000000-0005-0000-0000-000042000000}"/>
    <cellStyle name="Prozent 3" xfId="91" xr:uid="{00000000-0005-0000-0000-000043000000}"/>
    <cellStyle name="Prozent 4" xfId="48" xr:uid="{00000000-0005-0000-0000-000044000000}"/>
    <cellStyle name="Schlecht" xfId="33" builtinId="27" customBuiltin="1"/>
    <cellStyle name="Schlecht 2" xfId="55" xr:uid="{00000000-0005-0000-0000-000046000000}"/>
    <cellStyle name="Standard" xfId="0" builtinId="0"/>
    <cellStyle name="Standard 2" xfId="42" xr:uid="{00000000-0005-0000-0000-000048000000}"/>
    <cellStyle name="Standard 3" xfId="43" xr:uid="{00000000-0005-0000-0000-000049000000}"/>
    <cellStyle name="Standard 3 2" xfId="44" xr:uid="{00000000-0005-0000-0000-00004A000000}"/>
    <cellStyle name="Standard 4" xfId="47" xr:uid="{00000000-0005-0000-0000-00004B000000}"/>
    <cellStyle name="Überschrift" xfId="34" builtinId="15" customBuiltin="1"/>
    <cellStyle name="Überschrift 1" xfId="35" builtinId="16" customBuiltin="1"/>
    <cellStyle name="Überschrift 1 2" xfId="50" xr:uid="{00000000-0005-0000-0000-00004E000000}"/>
    <cellStyle name="Überschrift 2" xfId="36" builtinId="17" customBuiltin="1"/>
    <cellStyle name="Überschrift 2 2" xfId="51" xr:uid="{00000000-0005-0000-0000-000050000000}"/>
    <cellStyle name="Überschrift 3" xfId="37" builtinId="18" customBuiltin="1"/>
    <cellStyle name="Überschrift 3 2" xfId="52" xr:uid="{00000000-0005-0000-0000-000052000000}"/>
    <cellStyle name="Überschrift 4" xfId="38" builtinId="19" customBuiltin="1"/>
    <cellStyle name="Überschrift 4 2" xfId="53" xr:uid="{00000000-0005-0000-0000-000054000000}"/>
    <cellStyle name="Überschrift 5" xfId="49" xr:uid="{00000000-0005-0000-0000-000055000000}"/>
    <cellStyle name="Verknüpfte Zelle" xfId="39" builtinId="24" customBuiltin="1"/>
    <cellStyle name="Verknüpfte Zelle 2" xfId="60" xr:uid="{00000000-0005-0000-0000-000057000000}"/>
    <cellStyle name="Warnender Text" xfId="40" builtinId="11" customBuiltin="1"/>
    <cellStyle name="Warnender Text 2" xfId="62" xr:uid="{00000000-0005-0000-0000-000059000000}"/>
    <cellStyle name="Zelle überprüfen" xfId="41" builtinId="23" customBuiltin="1"/>
    <cellStyle name="Zelle überprüfen 2" xfId="61" xr:uid="{00000000-0005-0000-0000-00005B000000}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C0C0C0"/>
      <color rgb="FFFFFFFF"/>
      <color rgb="FF080808"/>
      <color rgb="FFE6E6E6"/>
      <color rgb="FF333333"/>
      <color rgb="FF5EAD35"/>
      <color rgb="FF125D86"/>
      <color rgb="FF005F85"/>
      <color rgb="FF61B931"/>
      <color rgb="FF0B9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929417309602147"/>
          <c:y val="0.18205612661881967"/>
          <c:w val="0.8241395936619037"/>
          <c:h val="0.64255944602669923"/>
        </c:manualLayout>
      </c:layout>
      <c:lineChart>
        <c:grouping val="standard"/>
        <c:varyColors val="0"/>
        <c:ser>
          <c:idx val="1"/>
          <c:order val="0"/>
          <c:tx>
            <c:strRef>
              <c:f>'[2]Vorberechn-Verkehr'!$O$115</c:f>
              <c:strCache>
                <c:ptCount val="1"/>
                <c:pt idx="0">
                  <c:v>Tsd.</c:v>
                </c:pt>
              </c:strCache>
            </c:strRef>
          </c:tx>
          <c:spPr>
            <a:ln>
              <a:gradFill flip="none" rotWithShape="1">
                <a:gsLst>
                  <a:gs pos="0">
                    <a:srgbClr val="00B050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  <a:tileRect/>
              </a:gradFill>
            </a:ln>
          </c:spPr>
          <c:marker>
            <c:symbol val="square"/>
            <c:size val="5"/>
            <c:spPr>
              <a:solidFill>
                <a:srgbClr val="92D05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'[2]Vorberechn-Verkehr'!$P$114:$AB$114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'[2]Vorberechn-Verkehr'!$P$115:$AB$115</c:f>
              <c:numCache>
                <c:formatCode>General</c:formatCode>
                <c:ptCount val="13"/>
                <c:pt idx="0">
                  <c:v>394</c:v>
                </c:pt>
                <c:pt idx="1">
                  <c:v>432</c:v>
                </c:pt>
                <c:pt idx="2">
                  <c:v>466</c:v>
                </c:pt>
                <c:pt idx="3">
                  <c:v>532</c:v>
                </c:pt>
                <c:pt idx="4">
                  <c:v>587</c:v>
                </c:pt>
                <c:pt idx="5">
                  <c:v>616</c:v>
                </c:pt>
                <c:pt idx="6">
                  <c:v>736</c:v>
                </c:pt>
                <c:pt idx="7">
                  <c:v>808</c:v>
                </c:pt>
                <c:pt idx="8">
                  <c:v>901</c:v>
                </c:pt>
                <c:pt idx="9">
                  <c:v>991</c:v>
                </c:pt>
                <c:pt idx="10">
                  <c:v>1218</c:v>
                </c:pt>
                <c:pt idx="11">
                  <c:v>2394</c:v>
                </c:pt>
                <c:pt idx="12">
                  <c:v>2536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C-4ED0-9A29-20FB7CFACA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35911936"/>
        <c:axId val="-735907584"/>
      </c:lineChart>
      <c:catAx>
        <c:axId val="-73591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1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100" b="0">
                    <a:latin typeface="Arial" pitchFamily="34" charset="0"/>
                    <a:cs typeface="Arial" pitchFamily="34" charset="0"/>
                  </a:rPr>
                  <a:t>Anzahl der Batteriehersteller </a:t>
                </a:r>
                <a:r>
                  <a:rPr lang="en-US" sz="1100" b="0" baseline="0">
                    <a:latin typeface="Arial" pitchFamily="34" charset="0"/>
                    <a:cs typeface="Arial" pitchFamily="34" charset="0"/>
                  </a:rPr>
                  <a:t>im Rücknahmesystem der Stiftung GRS Batterien </a:t>
                </a:r>
              </a:p>
              <a:p>
                <a:pPr algn="ctr">
                  <a:defRPr sz="11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100" b="0">
                    <a:latin typeface="Arial" pitchFamily="34" charset="0"/>
                    <a:cs typeface="Arial" pitchFamily="34" charset="0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13897132302906581"/>
              <c:y val="2.53064449322546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tailEnd type="triangle"/>
          </a:ln>
          <a:effectLst/>
        </c:spPr>
        <c:crossAx val="-7359075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735907584"/>
        <c:scaling>
          <c:orientation val="minMax"/>
          <c:max val="26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tailEnd type="triangle"/>
          </a:ln>
        </c:spPr>
        <c:crossAx val="-735911936"/>
        <c:crosses val="autoZero"/>
        <c:crossBetween val="between"/>
        <c:majorUnit val="500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chemeClr val="tx2">
          <a:lumMod val="40000"/>
          <a:lumOff val="60000"/>
        </a:schemeClr>
      </a:solidFill>
    </a:ln>
    <a:effectLst>
      <a:outerShdw blurRad="50800" dist="50800" dir="5400000" algn="ctr" rotWithShape="0">
        <a:schemeClr val="bg2">
          <a:lumMod val="90000"/>
        </a:schemeClr>
      </a:outerShdw>
    </a:effectLst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 baseline="0">
                <a:latin typeface="Arial" pitchFamily="34" charset="0"/>
                <a:cs typeface="Arial" pitchFamily="34" charset="0"/>
              </a:rPr>
              <a:t>ZnC-Primärbatterien und Li-Ion- Sekundärbatterien: </a:t>
            </a:r>
            <a:r>
              <a:rPr lang="en-US" sz="1100" b="1" i="0" u="none" strike="noStrike" baseline="0">
                <a:latin typeface="Arial" pitchFamily="34" charset="0"/>
                <a:cs typeface="Arial" pitchFamily="34" charset="0"/>
              </a:rPr>
              <a:t>in Verkehr gebrachte Massen 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2009 - 2011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9.9646239872190026E-2"/>
          <c:y val="2.8144239226033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4141074437305"/>
          <c:y val="0.22614782650849391"/>
          <c:w val="0.80485651569768613"/>
          <c:h val="0.57562060679090665"/>
        </c:manualLayout>
      </c:layout>
      <c:lineChart>
        <c:grouping val="standard"/>
        <c:varyColors val="0"/>
        <c:ser>
          <c:idx val="0"/>
          <c:order val="0"/>
          <c:tx>
            <c:strRef>
              <c:f>'[2]Vorberechn-Verkehr'!$C$153</c:f>
              <c:strCache>
                <c:ptCount val="1"/>
                <c:pt idx="0">
                  <c:v>Primärbatterien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ysDot"/>
            </a:ln>
          </c:spPr>
          <c:marker>
            <c:spPr>
              <a:solidFill>
                <a:srgbClr val="0070C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'[2]Vorberechn-Verkehr'!$D$153:$H$153</c:f>
              <c:numCache>
                <c:formatCode>General</c:formatCode>
                <c:ptCount val="5"/>
                <c:pt idx="0">
                  <c:v>30362.848000000002</c:v>
                </c:pt>
                <c:pt idx="1">
                  <c:v>32366.971099999999</c:v>
                </c:pt>
                <c:pt idx="2">
                  <c:v>31211.600765999996</c:v>
                </c:pt>
                <c:pt idx="3">
                  <c:v>32001.046000000002</c:v>
                </c:pt>
                <c:pt idx="4">
                  <c:v>31184.773999999994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1-41B3-B6D0-CB33CE66D633}"/>
            </c:ext>
          </c:extLst>
        </c:ser>
        <c:ser>
          <c:idx val="1"/>
          <c:order val="1"/>
          <c:tx>
            <c:strRef>
              <c:f>'[2]Vorberechn-Verkehr'!$C$154</c:f>
              <c:strCache>
                <c:ptCount val="1"/>
                <c:pt idx="0">
                  <c:v>Sekundärbatterien</c:v>
                </c:pt>
              </c:strCache>
            </c:strRef>
          </c:tx>
          <c:spPr>
            <a:ln>
              <a:prstDash val="sysDot"/>
            </a:ln>
          </c:spP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'[2]Vorberechn-Verkehr'!$D$154:$H$154</c:f>
              <c:numCache>
                <c:formatCode>General</c:formatCode>
                <c:ptCount val="5"/>
                <c:pt idx="0">
                  <c:v>6934.6617999999989</c:v>
                </c:pt>
                <c:pt idx="1">
                  <c:v>10163.898800000003</c:v>
                </c:pt>
                <c:pt idx="2">
                  <c:v>12122.740000000002</c:v>
                </c:pt>
                <c:pt idx="3">
                  <c:v>11547.918</c:v>
                </c:pt>
                <c:pt idx="4">
                  <c:v>11256.054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1-41B3-B6D0-CB33CE66D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5913024"/>
        <c:axId val="-735916832"/>
      </c:lineChart>
      <c:lineChart>
        <c:grouping val="standard"/>
        <c:varyColors val="0"/>
        <c:ser>
          <c:idx val="2"/>
          <c:order val="2"/>
          <c:tx>
            <c:strRef>
              <c:f>'[2]Vorberechn-Verkehr'!$C$156</c:f>
              <c:strCache>
                <c:ptCount val="1"/>
                <c:pt idx="0">
                  <c:v>ZnC</c:v>
                </c:pt>
              </c:strCache>
            </c:strRef>
          </c:tx>
          <c:dLbls>
            <c:dLbl>
              <c:idx val="2"/>
              <c:layout>
                <c:manualLayout>
                  <c:x val="-4.3337696598666924E-2"/>
                  <c:y val="3.167062549485382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81-41B3-B6D0-CB33CE66D6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'[2]Vorberechn-Verkehr'!$D$156:$H$156</c:f>
              <c:numCache>
                <c:formatCode>General</c:formatCode>
                <c:ptCount val="5"/>
                <c:pt idx="0">
                  <c:v>3217.1933333333336</c:v>
                </c:pt>
                <c:pt idx="1">
                  <c:v>5341.6236666666673</c:v>
                </c:pt>
                <c:pt idx="2">
                  <c:v>5982.2481993333331</c:v>
                </c:pt>
                <c:pt idx="3">
                  <c:v>5337.3753333333334</c:v>
                </c:pt>
                <c:pt idx="4">
                  <c:v>4366.5756666666657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81-41B3-B6D0-CB33CE66D633}"/>
            </c:ext>
          </c:extLst>
        </c:ser>
        <c:ser>
          <c:idx val="3"/>
          <c:order val="3"/>
          <c:tx>
            <c:strRef>
              <c:f>'[2]Vorberechn-Verkehr'!$C$158</c:f>
              <c:strCache>
                <c:ptCount val="1"/>
                <c:pt idx="0">
                  <c:v>Li-Ion</c:v>
                </c:pt>
              </c:strCache>
            </c:strRef>
          </c:tx>
          <c:dLbls>
            <c:dLbl>
              <c:idx val="2"/>
              <c:layout>
                <c:manualLayout>
                  <c:x val="-2.0392156862745078E-2"/>
                  <c:y val="-2.709132334711479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81-41B3-B6D0-CB33CE66D633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'[2]Vorberechn-Verkehr'!$D$158:$H$158</c:f>
              <c:numCache>
                <c:formatCode>General</c:formatCode>
                <c:ptCount val="5"/>
                <c:pt idx="0">
                  <c:v>3219.8886666666667</c:v>
                </c:pt>
                <c:pt idx="1">
                  <c:v>5386.6658000000007</c:v>
                </c:pt>
                <c:pt idx="2">
                  <c:v>6633.1050000000005</c:v>
                </c:pt>
                <c:pt idx="3">
                  <c:v>6911.1619999999994</c:v>
                </c:pt>
                <c:pt idx="4">
                  <c:v>6402.4530000000013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81-41B3-B6D0-CB33CE66D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5915744"/>
        <c:axId val="-735903776"/>
      </c:lineChart>
      <c:catAx>
        <c:axId val="-7359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735916832"/>
        <c:crosses val="autoZero"/>
        <c:auto val="1"/>
        <c:lblAlgn val="ctr"/>
        <c:lblOffset val="100"/>
        <c:noMultiLvlLbl val="0"/>
      </c:catAx>
      <c:valAx>
        <c:axId val="-735916832"/>
        <c:scaling>
          <c:orientation val="minMax"/>
          <c:max val="35000"/>
          <c:min val="1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735913024"/>
        <c:crosses val="autoZero"/>
        <c:crossBetween val="between"/>
      </c:valAx>
      <c:valAx>
        <c:axId val="-735903776"/>
        <c:scaling>
          <c:orientation val="minMax"/>
          <c:min val="2000"/>
        </c:scaling>
        <c:delete val="0"/>
        <c:axPos val="r"/>
        <c:numFmt formatCode="General" sourceLinked="1"/>
        <c:majorTickMark val="out"/>
        <c:minorTickMark val="none"/>
        <c:tickLblPos val="nextTo"/>
        <c:crossAx val="-735915744"/>
        <c:crosses val="max"/>
        <c:crossBetween val="between"/>
      </c:valAx>
      <c:catAx>
        <c:axId val="-73591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735903776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legend>
      <c:legendPos val="b"/>
      <c:overlay val="0"/>
      <c:txPr>
        <a:bodyPr/>
        <a:lstStyle/>
        <a:p>
          <a:pPr>
            <a:defRPr sz="1100" baseline="0"/>
          </a:pPr>
          <a:endParaRPr lang="de-DE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r>
              <a:rPr lang="en-US" sz="1100" b="1" i="0" u="none" strike="noStrike" baseline="0">
                <a:latin typeface="Arial" pitchFamily="34" charset="0"/>
                <a:cs typeface="Arial" pitchFamily="34" charset="0"/>
              </a:rPr>
              <a:t>Primärbatterien: </a:t>
            </a:r>
            <a:r>
              <a:rPr lang="en-US" sz="1100" b="1">
                <a:latin typeface="Arial" pitchFamily="34" charset="0"/>
                <a:cs typeface="Arial" pitchFamily="34" charset="0"/>
              </a:rPr>
              <a:t>in Verkehr gebrachte</a:t>
            </a:r>
            <a:r>
              <a:rPr lang="en-US" sz="1100" b="1" baseline="0">
                <a:latin typeface="Arial" pitchFamily="34" charset="0"/>
                <a:cs typeface="Arial" pitchFamily="34" charset="0"/>
              </a:rPr>
              <a:t> Massen der 3 größten Systeme 2009 - 2011</a:t>
            </a:r>
            <a:endParaRPr lang="en-US" sz="1100" b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199918104866107"/>
          <c:y val="3.02149967103168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4141074437305"/>
          <c:y val="0.19163676151734241"/>
          <c:w val="0.67389465063671083"/>
          <c:h val="0.68105043473339799"/>
        </c:manualLayout>
      </c:layout>
      <c:lineChart>
        <c:grouping val="standard"/>
        <c:varyColors val="0"/>
        <c:ser>
          <c:idx val="0"/>
          <c:order val="0"/>
          <c:tx>
            <c:strRef>
              <c:f>'[2]Vorberechn-Verkehr'!$C$153</c:f>
              <c:strCache>
                <c:ptCount val="1"/>
                <c:pt idx="0">
                  <c:v>Primärbatterien</c:v>
                </c:pt>
              </c:strCache>
            </c:strRef>
          </c:tx>
          <c:spPr>
            <a:ln w="38100">
              <a:gradFill>
                <a:gsLst>
                  <a:gs pos="0">
                    <a:srgbClr val="D6B19C"/>
                  </a:gs>
                  <a:gs pos="30000">
                    <a:srgbClr val="D49E6C"/>
                  </a:gs>
                  <a:gs pos="70000">
                    <a:srgbClr val="A65528"/>
                  </a:gs>
                  <a:gs pos="100000">
                    <a:srgbClr val="663012"/>
                  </a:gs>
                </a:gsLst>
                <a:lin ang="5400000" scaled="0"/>
              </a:gradFill>
            </a:ln>
          </c:spPr>
          <c:dLbls>
            <c:dLbl>
              <c:idx val="1"/>
              <c:layout>
                <c:manualLayout>
                  <c:x val="-4.6449308925898325E-2"/>
                  <c:y val="-3.271345798756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17-44F2-B7BA-728E1465729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'[2]Vorberechn-Verkehr'!$D$153:$H$153</c:f>
              <c:numCache>
                <c:formatCode>General</c:formatCode>
                <c:ptCount val="5"/>
                <c:pt idx="0">
                  <c:v>30362.848000000002</c:v>
                </c:pt>
                <c:pt idx="1">
                  <c:v>32366.971099999999</c:v>
                </c:pt>
                <c:pt idx="2">
                  <c:v>31211.600765999996</c:v>
                </c:pt>
                <c:pt idx="3">
                  <c:v>32001.046000000002</c:v>
                </c:pt>
                <c:pt idx="4">
                  <c:v>31184.773999999994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7-44F2-B7BA-728E1465729D}"/>
            </c:ext>
          </c:extLst>
        </c:ser>
        <c:ser>
          <c:idx val="2"/>
          <c:order val="1"/>
          <c:tx>
            <c:strRef>
              <c:f>'[2]Vorberechn-Verkehr'!$C$155</c:f>
              <c:strCache>
                <c:ptCount val="1"/>
                <c:pt idx="0">
                  <c:v>AlMn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'[2]Vorberechn-Verkehr'!$D$155:$H$155</c:f>
              <c:numCache>
                <c:formatCode>General</c:formatCode>
                <c:ptCount val="5"/>
                <c:pt idx="0">
                  <c:v>26364.293333333335</c:v>
                </c:pt>
                <c:pt idx="1">
                  <c:v>25902.377666666667</c:v>
                </c:pt>
                <c:pt idx="2">
                  <c:v>24162.112333333331</c:v>
                </c:pt>
                <c:pt idx="3">
                  <c:v>25296.800333333336</c:v>
                </c:pt>
                <c:pt idx="4">
                  <c:v>25569.058666666664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17-44F2-B7BA-728E1465729D}"/>
            </c:ext>
          </c:extLst>
        </c:ser>
        <c:ser>
          <c:idx val="3"/>
          <c:order val="2"/>
          <c:tx>
            <c:strRef>
              <c:f>'[2]Vorberechn-Verkehr'!$C$156</c:f>
              <c:strCache>
                <c:ptCount val="1"/>
                <c:pt idx="0">
                  <c:v>ZnC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'[2]Vorberechn-Verkehr'!$D$156:$H$156</c:f>
              <c:numCache>
                <c:formatCode>General</c:formatCode>
                <c:ptCount val="5"/>
                <c:pt idx="0">
                  <c:v>3217.1933333333336</c:v>
                </c:pt>
                <c:pt idx="1">
                  <c:v>5341.6236666666673</c:v>
                </c:pt>
                <c:pt idx="2">
                  <c:v>5982.2481993333331</c:v>
                </c:pt>
                <c:pt idx="3">
                  <c:v>5337.3753333333334</c:v>
                </c:pt>
                <c:pt idx="4">
                  <c:v>4366.5756666666657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17-44F2-B7BA-728E1465729D}"/>
            </c:ext>
          </c:extLst>
        </c:ser>
        <c:ser>
          <c:idx val="4"/>
          <c:order val="3"/>
          <c:tx>
            <c:strRef>
              <c:f>'[2]Vorberechn-Verkehr'!$C$157</c:f>
              <c:strCache>
                <c:ptCount val="1"/>
                <c:pt idx="0">
                  <c:v>Li</c:v>
                </c:pt>
              </c:strCache>
            </c:strRef>
          </c:tx>
          <c:dLbls>
            <c:dLbl>
              <c:idx val="0"/>
              <c:layout>
                <c:manualLayout>
                  <c:x val="-3.0537084398976979E-2"/>
                  <c:y val="-3.1040135328352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17-44F2-B7BA-728E1465729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'[2]Vorberechn-Verkehr'!$D$157:$H$157</c:f>
              <c:numCache>
                <c:formatCode>General</c:formatCode>
                <c:ptCount val="5"/>
                <c:pt idx="0">
                  <c:v>464.44149999999996</c:v>
                </c:pt>
                <c:pt idx="1">
                  <c:v>504.93899999999996</c:v>
                </c:pt>
                <c:pt idx="2">
                  <c:v>582.99890000000005</c:v>
                </c:pt>
                <c:pt idx="3">
                  <c:v>713.75400000000002</c:v>
                </c:pt>
                <c:pt idx="4">
                  <c:v>771.73399999999992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17-44F2-B7BA-728E146572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35910304"/>
        <c:axId val="-735919008"/>
      </c:lineChart>
      <c:catAx>
        <c:axId val="-7359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735919008"/>
        <c:crosses val="autoZero"/>
        <c:auto val="1"/>
        <c:lblAlgn val="ctr"/>
        <c:lblOffset val="100"/>
        <c:noMultiLvlLbl val="0"/>
      </c:catAx>
      <c:valAx>
        <c:axId val="-735919008"/>
        <c:scaling>
          <c:orientation val="minMax"/>
          <c:max val="3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735910304"/>
        <c:crosses val="autoZero"/>
        <c:crossBetween val="between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77744245524296651"/>
          <c:y val="0.33910626900538027"/>
          <c:w val="0.21232736572890026"/>
          <c:h val="0.34787441851098538"/>
        </c:manualLayout>
      </c:layout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 b="1" i="0" u="none" strike="noStrike" baseline="0">
                <a:latin typeface="Arial" pitchFamily="34" charset="0"/>
                <a:cs typeface="Arial" pitchFamily="34" charset="0"/>
              </a:rPr>
              <a:t>Sekundärbatterien: </a:t>
            </a:r>
            <a:r>
              <a:rPr lang="en-US" sz="1100">
                <a:latin typeface="Arial" pitchFamily="34" charset="0"/>
                <a:cs typeface="Arial" pitchFamily="34" charset="0"/>
              </a:rPr>
              <a:t>in Verkehr gebrachte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Massen  2009 - 2011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9.1308643964261527E-2"/>
          <c:y val="1.94333255512873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01233466506119E-2"/>
          <c:y val="0.12288416778091422"/>
          <c:w val="0.66449993622920733"/>
          <c:h val="0.77630126422876777"/>
        </c:manualLayout>
      </c:layout>
      <c:lineChart>
        <c:grouping val="standard"/>
        <c:varyColors val="0"/>
        <c:ser>
          <c:idx val="0"/>
          <c:order val="0"/>
          <c:tx>
            <c:strRef>
              <c:f>'[2]Vorberechn-Verkehr'!$C$154</c:f>
              <c:strCache>
                <c:ptCount val="1"/>
                <c:pt idx="0">
                  <c:v>Sekundärbatterien</c:v>
                </c:pt>
              </c:strCache>
            </c:strRef>
          </c:tx>
          <c:spPr>
            <a:ln w="38100">
              <a:gradFill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lin ang="5400000" scaled="0"/>
              </a:gra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'[2]Vorberechn-Verkehr'!$D$154:$H$154</c:f>
              <c:numCache>
                <c:formatCode>General</c:formatCode>
                <c:ptCount val="5"/>
                <c:pt idx="0">
                  <c:v>6934.6617999999989</c:v>
                </c:pt>
                <c:pt idx="1">
                  <c:v>10163.898800000003</c:v>
                </c:pt>
                <c:pt idx="2">
                  <c:v>12122.740000000002</c:v>
                </c:pt>
                <c:pt idx="3">
                  <c:v>11547.918</c:v>
                </c:pt>
                <c:pt idx="4">
                  <c:v>11256.054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5-4372-97EA-B5974460DE52}"/>
            </c:ext>
          </c:extLst>
        </c:ser>
        <c:ser>
          <c:idx val="2"/>
          <c:order val="1"/>
          <c:tx>
            <c:strRef>
              <c:f>'[2]Vorberechn-Verkehr'!$C$158</c:f>
              <c:strCache>
                <c:ptCount val="1"/>
                <c:pt idx="0">
                  <c:v>Li-Ion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'[2]Vorberechn-Verkehr'!$D$158:$H$158</c:f>
              <c:numCache>
                <c:formatCode>General</c:formatCode>
                <c:ptCount val="5"/>
                <c:pt idx="0">
                  <c:v>3219.8886666666667</c:v>
                </c:pt>
                <c:pt idx="1">
                  <c:v>5386.6658000000007</c:v>
                </c:pt>
                <c:pt idx="2">
                  <c:v>6633.1050000000005</c:v>
                </c:pt>
                <c:pt idx="3">
                  <c:v>6911.1619999999994</c:v>
                </c:pt>
                <c:pt idx="4">
                  <c:v>6402.4530000000013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5-4372-97EA-B5974460DE52}"/>
            </c:ext>
          </c:extLst>
        </c:ser>
        <c:ser>
          <c:idx val="3"/>
          <c:order val="2"/>
          <c:tx>
            <c:strRef>
              <c:f>'[2]Vorberechn-Verkehr'!$C$159</c:f>
              <c:strCache>
                <c:ptCount val="1"/>
                <c:pt idx="0">
                  <c:v>NiMH</c:v>
                </c:pt>
              </c:strCache>
            </c:strRef>
          </c:tx>
          <c:dLbls>
            <c:dLbl>
              <c:idx val="0"/>
              <c:layout>
                <c:manualLayout>
                  <c:x val="-3.5307006061582449E-2"/>
                  <c:y val="-3.990123876024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95-4372-97EA-B5974460DE52}"/>
                </c:ext>
              </c:extLst>
            </c:dLbl>
            <c:dLbl>
              <c:idx val="1"/>
              <c:layout>
                <c:manualLayout>
                  <c:x val="-4.0422095575648964E-2"/>
                  <c:y val="-3.990123876024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95-4372-97EA-B5974460DE52}"/>
                </c:ext>
              </c:extLst>
            </c:dLbl>
            <c:dLbl>
              <c:idx val="2"/>
              <c:layout>
                <c:manualLayout>
                  <c:x val="-3.8717065737626795E-2"/>
                  <c:y val="-3.990123876024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95-4372-97EA-B5974460DE5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'[2]Vorberechn-Verkehr'!$D$159:$H$159</c:f>
              <c:numCache>
                <c:formatCode>General</c:formatCode>
                <c:ptCount val="5"/>
                <c:pt idx="0">
                  <c:v>2041.3124666666668</c:v>
                </c:pt>
                <c:pt idx="1">
                  <c:v>2741.7939999999999</c:v>
                </c:pt>
                <c:pt idx="2">
                  <c:v>3137.6430000000005</c:v>
                </c:pt>
                <c:pt idx="3">
                  <c:v>2616.0890000000004</c:v>
                </c:pt>
                <c:pt idx="4">
                  <c:v>2858.116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95-4372-97EA-B5974460DE52}"/>
            </c:ext>
          </c:extLst>
        </c:ser>
        <c:ser>
          <c:idx val="4"/>
          <c:order val="3"/>
          <c:tx>
            <c:strRef>
              <c:f>'[2]Vorberechn-Verkehr'!$C$160</c:f>
              <c:strCache>
                <c:ptCount val="1"/>
                <c:pt idx="0">
                  <c:v>NiCd</c:v>
                </c:pt>
              </c:strCache>
            </c:strRef>
          </c:tx>
          <c:dLbls>
            <c:dLbl>
              <c:idx val="0"/>
              <c:layout>
                <c:manualLayout>
                  <c:x val="-3.0383631713555001E-2"/>
                  <c:y val="-3.5938903863432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95-4372-97EA-B5974460DE52}"/>
                </c:ext>
              </c:extLst>
            </c:dLbl>
            <c:dLbl>
              <c:idx val="1"/>
              <c:layout>
                <c:manualLayout>
                  <c:x val="-4.3333400460492312E-2"/>
                  <c:y val="-2.875112309074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95-4372-97EA-B5974460DE52}"/>
                </c:ext>
              </c:extLst>
            </c:dLbl>
            <c:dLbl>
              <c:idx val="2"/>
              <c:layout>
                <c:manualLayout>
                  <c:x val="-6.0383698840714678E-2"/>
                  <c:y val="-2.1563342318059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95-4372-97EA-B5974460DE52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'[2]Vorberechn-Verkehr'!$D$160:$H$160</c:f>
              <c:numCache>
                <c:formatCode>General</c:formatCode>
                <c:ptCount val="5"/>
                <c:pt idx="0">
                  <c:v>803.45966666666664</c:v>
                </c:pt>
                <c:pt idx="1">
                  <c:v>1191.1289999999999</c:v>
                </c:pt>
                <c:pt idx="2">
                  <c:v>1335.867</c:v>
                </c:pt>
                <c:pt idx="3">
                  <c:v>1008.8050000000001</c:v>
                </c:pt>
                <c:pt idx="4">
                  <c:v>775.28099999999995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A95-4372-97EA-B5974460DE52}"/>
            </c:ext>
          </c:extLst>
        </c:ser>
        <c:ser>
          <c:idx val="1"/>
          <c:order val="4"/>
          <c:tx>
            <c:strRef>
              <c:f>'[2]Vorberechn-Verkehr'!$C$161</c:f>
              <c:strCache>
                <c:ptCount val="1"/>
                <c:pt idx="0">
                  <c:v>Pb</c:v>
                </c:pt>
              </c:strCache>
            </c:strRef>
          </c:tx>
          <c:dLbls>
            <c:dLbl>
              <c:idx val="0"/>
              <c:layout>
                <c:manualLayout>
                  <c:x val="-2.8832054560954841E-2"/>
                  <c:y val="2.156334231805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95-4372-97EA-B5974460DE52}"/>
                </c:ext>
              </c:extLst>
            </c:dLbl>
            <c:dLbl>
              <c:idx val="1"/>
              <c:layout>
                <c:manualLayout>
                  <c:x val="-3.2242114236999152E-2"/>
                  <c:y val="1.7969451931716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95-4372-97EA-B5974460DE52}"/>
                </c:ext>
              </c:extLst>
            </c:dLbl>
            <c:dLbl>
              <c:idx val="2"/>
              <c:layout>
                <c:manualLayout>
                  <c:x val="-3.3947144075021411E-2"/>
                  <c:y val="2.156334231805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95-4372-97EA-B5974460DE5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'[2]Vorberechn-Verkehr'!$D$152:$H$152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'[2]Vorberechn-Verkehr'!$D$161:$H$161</c:f>
              <c:numCache>
                <c:formatCode>General</c:formatCode>
                <c:ptCount val="5"/>
                <c:pt idx="0">
                  <c:v>852.00099999999998</c:v>
                </c:pt>
                <c:pt idx="1">
                  <c:v>811.90600000000006</c:v>
                </c:pt>
                <c:pt idx="2">
                  <c:v>990.47599999999989</c:v>
                </c:pt>
                <c:pt idx="3">
                  <c:v>991.7120000000001</c:v>
                </c:pt>
                <c:pt idx="4">
                  <c:v>1196.3269999999998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A95-4372-97EA-B5974460DE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35909216"/>
        <c:axId val="-735908128"/>
      </c:lineChart>
      <c:catAx>
        <c:axId val="-73590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735908128"/>
        <c:crosses val="autoZero"/>
        <c:auto val="1"/>
        <c:lblAlgn val="ctr"/>
        <c:lblOffset val="100"/>
        <c:noMultiLvlLbl val="0"/>
      </c:catAx>
      <c:valAx>
        <c:axId val="-735908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735909216"/>
        <c:crosses val="autoZero"/>
        <c:crossBetween val="between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7649018936571621"/>
          <c:y val="0.37643370050441832"/>
          <c:w val="0.22486792731471217"/>
          <c:h val="0.32494004287199951"/>
        </c:manualLayout>
      </c:layout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929417309602144"/>
          <c:y val="0.18205612661881967"/>
          <c:w val="0.8241395936619037"/>
          <c:h val="0.64255944602669912"/>
        </c:manualLayout>
      </c:layout>
      <c:lineChart>
        <c:grouping val="standard"/>
        <c:varyColors val="0"/>
        <c:ser>
          <c:idx val="1"/>
          <c:order val="0"/>
          <c:tx>
            <c:strRef>
              <c:f>'Vorberechn-Verkehr-2011'!$O$42</c:f>
              <c:strCache>
                <c:ptCount val="1"/>
                <c:pt idx="0">
                  <c:v>Tsd.</c:v>
                </c:pt>
              </c:strCache>
            </c:strRef>
          </c:tx>
          <c:spPr>
            <a:ln>
              <a:gradFill flip="none" rotWithShape="1">
                <a:gsLst>
                  <a:gs pos="0">
                    <a:srgbClr val="00B050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  <a:tileRect/>
              </a:gradFill>
            </a:ln>
          </c:spPr>
          <c:marker>
            <c:symbol val="square"/>
            <c:size val="5"/>
            <c:spPr>
              <a:solidFill>
                <a:srgbClr val="92D05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'Vorberechn-Verkehr-2011'!$P$41:$AB$41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'Vorberechn-Verkehr-2011'!$P$42:$AB$42</c:f>
              <c:numCache>
                <c:formatCode>General</c:formatCode>
                <c:ptCount val="13"/>
                <c:pt idx="0">
                  <c:v>394</c:v>
                </c:pt>
                <c:pt idx="1">
                  <c:v>432</c:v>
                </c:pt>
                <c:pt idx="2">
                  <c:v>466</c:v>
                </c:pt>
                <c:pt idx="3">
                  <c:v>532</c:v>
                </c:pt>
                <c:pt idx="4">
                  <c:v>587</c:v>
                </c:pt>
                <c:pt idx="5">
                  <c:v>616</c:v>
                </c:pt>
                <c:pt idx="6">
                  <c:v>736</c:v>
                </c:pt>
                <c:pt idx="7">
                  <c:v>808</c:v>
                </c:pt>
                <c:pt idx="8">
                  <c:v>901</c:v>
                </c:pt>
                <c:pt idx="9">
                  <c:v>991</c:v>
                </c:pt>
                <c:pt idx="10" formatCode="#,##0">
                  <c:v>1218</c:v>
                </c:pt>
                <c:pt idx="11">
                  <c:v>2394</c:v>
                </c:pt>
                <c:pt idx="12">
                  <c:v>2536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A-4141-9DEE-896919A9AC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35908672"/>
        <c:axId val="-735907040"/>
      </c:lineChart>
      <c:catAx>
        <c:axId val="-73590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1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100" b="0">
                    <a:latin typeface="Arial" pitchFamily="34" charset="0"/>
                    <a:cs typeface="Arial" pitchFamily="34" charset="0"/>
                  </a:rPr>
                  <a:t>Anzahl der Batteriehersteller </a:t>
                </a:r>
                <a:r>
                  <a:rPr lang="en-US" sz="1100" b="0" baseline="0">
                    <a:latin typeface="Arial" pitchFamily="34" charset="0"/>
                    <a:cs typeface="Arial" pitchFamily="34" charset="0"/>
                  </a:rPr>
                  <a:t>im Rücknahmesystem der Stiftung GRS Batterien </a:t>
                </a:r>
              </a:p>
              <a:p>
                <a:pPr algn="ctr">
                  <a:defRPr sz="11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100" b="0">
                    <a:latin typeface="Arial" pitchFamily="34" charset="0"/>
                    <a:cs typeface="Arial" pitchFamily="34" charset="0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13897132302906581"/>
              <c:y val="2.53064449322546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tailEnd type="triangle"/>
          </a:ln>
          <a:effectLst/>
        </c:spPr>
        <c:crossAx val="-7359070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735907040"/>
        <c:scaling>
          <c:orientation val="minMax"/>
          <c:max val="26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tailEnd type="triangle"/>
          </a:ln>
        </c:spPr>
        <c:crossAx val="-735908672"/>
        <c:crosses val="autoZero"/>
        <c:crossBetween val="between"/>
        <c:majorUnit val="500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chemeClr val="tx2">
          <a:lumMod val="40000"/>
          <a:lumOff val="60000"/>
        </a:schemeClr>
      </a:solidFill>
    </a:ln>
    <a:effectLst>
      <a:outerShdw blurRad="50800" dist="50800" dir="5400000" algn="ctr" rotWithShape="0">
        <a:schemeClr val="bg2">
          <a:lumMod val="90000"/>
        </a:schemeClr>
      </a:outerShdw>
    </a:effectLst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 baseline="0">
                <a:latin typeface="Arial" pitchFamily="34" charset="0"/>
                <a:cs typeface="Arial" pitchFamily="34" charset="0"/>
              </a:rPr>
              <a:t>ZnC-Primärbatterien und Li-Ion- Sekundärbatterien: </a:t>
            </a:r>
            <a:r>
              <a:rPr lang="en-US" sz="1100" b="1" i="0" u="none" strike="noStrike" baseline="0">
                <a:latin typeface="Arial" pitchFamily="34" charset="0"/>
                <a:cs typeface="Arial" pitchFamily="34" charset="0"/>
              </a:rPr>
              <a:t>in Verkehr gebrachte Massen 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2009 - 2011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9.9646239872190026E-2"/>
          <c:y val="2.8144239226033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4141074437305"/>
          <c:y val="0.22614782650849391"/>
          <c:w val="0.80485651569768613"/>
          <c:h val="0.57562060679090665"/>
        </c:manualLayout>
      </c:layout>
      <c:lineChart>
        <c:grouping val="standard"/>
        <c:varyColors val="0"/>
        <c:ser>
          <c:idx val="0"/>
          <c:order val="0"/>
          <c:tx>
            <c:strRef>
              <c:f>'Vorberechn-Verkehr-2011'!$B$80:$C$80</c:f>
              <c:strCache>
                <c:ptCount val="2"/>
                <c:pt idx="0">
                  <c:v>Primärbatterien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ysDot"/>
            </a:ln>
          </c:spPr>
          <c:marker>
            <c:spPr>
              <a:solidFill>
                <a:srgbClr val="0070C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'Vorberechn-Verkehr-2011'!$D$79:$F$79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'Vorberechn-Verkehr-2011'!$D$80:$F$80</c:f>
              <c:numCache>
                <c:formatCode>#,###\ "t"</c:formatCode>
                <c:ptCount val="3"/>
                <c:pt idx="0">
                  <c:v>30362.848000000002</c:v>
                </c:pt>
                <c:pt idx="1">
                  <c:v>32366.971099999999</c:v>
                </c:pt>
                <c:pt idx="2">
                  <c:v>31211.600765999996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C-4A0E-A547-1EA6417D1F12}"/>
            </c:ext>
          </c:extLst>
        </c:ser>
        <c:ser>
          <c:idx val="1"/>
          <c:order val="1"/>
          <c:tx>
            <c:strRef>
              <c:f>'Vorberechn-Verkehr-2011'!$B$81:$C$81</c:f>
              <c:strCache>
                <c:ptCount val="2"/>
                <c:pt idx="0">
                  <c:v>Sekundärbatterien</c:v>
                </c:pt>
              </c:strCache>
            </c:strRef>
          </c:tx>
          <c:spPr>
            <a:ln>
              <a:prstDash val="sysDot"/>
            </a:ln>
          </c:spP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'Vorberechn-Verkehr-2011'!$D$79:$F$79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'Vorberechn-Verkehr-2011'!$D$81:$F$81</c:f>
              <c:numCache>
                <c:formatCode>#,###\ "t"</c:formatCode>
                <c:ptCount val="3"/>
                <c:pt idx="0">
                  <c:v>6934.6617999999989</c:v>
                </c:pt>
                <c:pt idx="1">
                  <c:v>10163.898800000003</c:v>
                </c:pt>
                <c:pt idx="2">
                  <c:v>12122.740000000002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C-4A0E-A547-1EA6417D1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5904864"/>
        <c:axId val="-735904320"/>
      </c:lineChart>
      <c:lineChart>
        <c:grouping val="standard"/>
        <c:varyColors val="0"/>
        <c:ser>
          <c:idx val="2"/>
          <c:order val="2"/>
          <c:tx>
            <c:strRef>
              <c:f>'Vorberechn-Verkehr-2011'!$B$83:$C$83</c:f>
              <c:strCache>
                <c:ptCount val="2"/>
                <c:pt idx="0">
                  <c:v>ZnC</c:v>
                </c:pt>
              </c:strCache>
            </c:strRef>
          </c:tx>
          <c:dLbls>
            <c:dLbl>
              <c:idx val="2"/>
              <c:layout>
                <c:manualLayout>
                  <c:x val="-4.3337696598666924E-2"/>
                  <c:y val="3.1670625494853819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C-4A0E-A547-1EA6417D1F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'Vorberechn-Verkehr-2011'!$D$79:$F$79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'Vorberechn-Verkehr-2011'!$D$83:$F$83</c:f>
              <c:numCache>
                <c:formatCode>#,###\ "t"</c:formatCode>
                <c:ptCount val="3"/>
                <c:pt idx="0">
                  <c:v>3217.1933333333336</c:v>
                </c:pt>
                <c:pt idx="1">
                  <c:v>5341.6236666666673</c:v>
                </c:pt>
                <c:pt idx="2">
                  <c:v>5982.2481993333331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DC-4A0E-A547-1EA6417D1F12}"/>
            </c:ext>
          </c:extLst>
        </c:ser>
        <c:ser>
          <c:idx val="3"/>
          <c:order val="3"/>
          <c:tx>
            <c:strRef>
              <c:f>'Vorberechn-Verkehr-2011'!$B$85:$C$85</c:f>
              <c:strCache>
                <c:ptCount val="2"/>
                <c:pt idx="0">
                  <c:v>Li-Ion</c:v>
                </c:pt>
              </c:strCache>
            </c:strRef>
          </c:tx>
          <c:dLbls>
            <c:dLbl>
              <c:idx val="2"/>
              <c:layout>
                <c:manualLayout>
                  <c:x val="-2.0392156862745078E-2"/>
                  <c:y val="-2.7091323347114789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DC-4A0E-A547-1EA6417D1F12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'Vorberechn-Verkehr-2011'!$D$79:$F$79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'Vorberechn-Verkehr-2011'!$D$85:$F$85</c:f>
              <c:numCache>
                <c:formatCode>#,###\ "t"</c:formatCode>
                <c:ptCount val="3"/>
                <c:pt idx="0">
                  <c:v>3219.8886666666667</c:v>
                </c:pt>
                <c:pt idx="1">
                  <c:v>5386.6658000000007</c:v>
                </c:pt>
                <c:pt idx="2">
                  <c:v>6633.1050000000005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DC-4A0E-A547-1EA6417D1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3366960"/>
        <c:axId val="-823394784"/>
      </c:lineChart>
      <c:catAx>
        <c:axId val="-73590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735904320"/>
        <c:crosses val="autoZero"/>
        <c:auto val="1"/>
        <c:lblAlgn val="ctr"/>
        <c:lblOffset val="100"/>
        <c:noMultiLvlLbl val="0"/>
      </c:catAx>
      <c:valAx>
        <c:axId val="-735904320"/>
        <c:scaling>
          <c:orientation val="minMax"/>
          <c:max val="35000"/>
          <c:min val="1500"/>
        </c:scaling>
        <c:delete val="0"/>
        <c:axPos val="l"/>
        <c:majorGridlines/>
        <c:numFmt formatCode="#,###\ &quot;t&quot;" sourceLinked="1"/>
        <c:majorTickMark val="none"/>
        <c:minorTickMark val="none"/>
        <c:tickLblPos val="nextTo"/>
        <c:crossAx val="-735904864"/>
        <c:crosses val="autoZero"/>
        <c:crossBetween val="between"/>
      </c:valAx>
      <c:valAx>
        <c:axId val="-823394784"/>
        <c:scaling>
          <c:orientation val="minMax"/>
          <c:min val="2000"/>
        </c:scaling>
        <c:delete val="0"/>
        <c:axPos val="r"/>
        <c:numFmt formatCode="#,###\ &quot;t&quot;" sourceLinked="1"/>
        <c:majorTickMark val="out"/>
        <c:minorTickMark val="none"/>
        <c:tickLblPos val="nextTo"/>
        <c:crossAx val="-693366960"/>
        <c:crosses val="max"/>
        <c:crossBetween val="between"/>
      </c:valAx>
      <c:catAx>
        <c:axId val="-69336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823394784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legend>
      <c:legendPos val="b"/>
      <c:overlay val="0"/>
      <c:txPr>
        <a:bodyPr/>
        <a:lstStyle/>
        <a:p>
          <a:pPr>
            <a:defRPr sz="1100" baseline="0"/>
          </a:pPr>
          <a:endParaRPr lang="de-DE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 b="1" i="0" u="none" strike="noStrike" baseline="0">
                <a:latin typeface="Arial" pitchFamily="34" charset="0"/>
                <a:cs typeface="Arial" pitchFamily="34" charset="0"/>
              </a:rPr>
              <a:t>Sekundärbatterien: </a:t>
            </a:r>
            <a:r>
              <a:rPr lang="en-US" sz="1100">
                <a:latin typeface="Arial" pitchFamily="34" charset="0"/>
                <a:cs typeface="Arial" pitchFamily="34" charset="0"/>
              </a:rPr>
              <a:t>in Verkehr gebrachte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Massen  2009 - 2011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9.1308643964261527E-2"/>
          <c:y val="1.9433325551287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91112364151507E-2"/>
          <c:y val="0.12288416778091422"/>
          <c:w val="0.66449993622920711"/>
          <c:h val="0.77630126422876766"/>
        </c:manualLayout>
      </c:layout>
      <c:lineChart>
        <c:grouping val="standard"/>
        <c:varyColors val="0"/>
        <c:ser>
          <c:idx val="0"/>
          <c:order val="0"/>
          <c:tx>
            <c:strRef>
              <c:f>'Vorberechn-Verkehr-2011'!$B$81:$C$81</c:f>
              <c:strCache>
                <c:ptCount val="2"/>
                <c:pt idx="0">
                  <c:v>Sekundärbatterien</c:v>
                </c:pt>
              </c:strCache>
            </c:strRef>
          </c:tx>
          <c:spPr>
            <a:ln w="38100">
              <a:gradFill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lin ang="5400000" scaled="0"/>
              </a:gra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'Vorberechn-Verkehr-2011'!$D$79:$F$79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'Vorberechn-Verkehr-2011'!$D$81:$F$81</c:f>
              <c:numCache>
                <c:formatCode>#,###\ "t"</c:formatCode>
                <c:ptCount val="3"/>
                <c:pt idx="0">
                  <c:v>6934.6617999999989</c:v>
                </c:pt>
                <c:pt idx="1">
                  <c:v>10163.898800000003</c:v>
                </c:pt>
                <c:pt idx="2">
                  <c:v>12122.740000000002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C-4C97-8A13-444588B33A03}"/>
            </c:ext>
          </c:extLst>
        </c:ser>
        <c:ser>
          <c:idx val="2"/>
          <c:order val="1"/>
          <c:tx>
            <c:strRef>
              <c:f>'Vorberechn-Verkehr-2011'!$B$85:$C$85</c:f>
              <c:strCache>
                <c:ptCount val="2"/>
                <c:pt idx="0">
                  <c:v>Li-Ion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'Vorberechn-Verkehr-2011'!$D$79:$F$79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'Vorberechn-Verkehr-2011'!$D$85:$F$85</c:f>
              <c:numCache>
                <c:formatCode>#,###\ "t"</c:formatCode>
                <c:ptCount val="3"/>
                <c:pt idx="0">
                  <c:v>3219.8886666666667</c:v>
                </c:pt>
                <c:pt idx="1">
                  <c:v>5386.6658000000007</c:v>
                </c:pt>
                <c:pt idx="2">
                  <c:v>6633.1050000000005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C-4C97-8A13-444588B33A03}"/>
            </c:ext>
          </c:extLst>
        </c:ser>
        <c:ser>
          <c:idx val="3"/>
          <c:order val="2"/>
          <c:tx>
            <c:strRef>
              <c:f>'Vorberechn-Verkehr-2011'!$B$86:$C$86</c:f>
              <c:strCache>
                <c:ptCount val="2"/>
                <c:pt idx="0">
                  <c:v>NiMH</c:v>
                </c:pt>
              </c:strCache>
            </c:strRef>
          </c:tx>
          <c:dLbls>
            <c:dLbl>
              <c:idx val="0"/>
              <c:layout>
                <c:manualLayout>
                  <c:x val="-3.5307006061582449E-2"/>
                  <c:y val="-3.990123876024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C-4C97-8A13-444588B33A03}"/>
                </c:ext>
              </c:extLst>
            </c:dLbl>
            <c:dLbl>
              <c:idx val="1"/>
              <c:layout>
                <c:manualLayout>
                  <c:x val="-4.0422095575648964E-2"/>
                  <c:y val="-3.990123876024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C-4C97-8A13-444588B33A03}"/>
                </c:ext>
              </c:extLst>
            </c:dLbl>
            <c:dLbl>
              <c:idx val="2"/>
              <c:layout>
                <c:manualLayout>
                  <c:x val="-3.8717065737626795E-2"/>
                  <c:y val="-3.990123876024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6C-4C97-8A13-444588B33A0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'Vorberechn-Verkehr-2011'!$D$79:$F$79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'Vorberechn-Verkehr-2011'!$D$86:$F$86</c:f>
              <c:numCache>
                <c:formatCode>#,###\ "t"</c:formatCode>
                <c:ptCount val="3"/>
                <c:pt idx="0">
                  <c:v>2041.3124666666668</c:v>
                </c:pt>
                <c:pt idx="1">
                  <c:v>2741.7939999999999</c:v>
                </c:pt>
                <c:pt idx="2">
                  <c:v>3137.6430000000005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6C-4C97-8A13-444588B33A03}"/>
            </c:ext>
          </c:extLst>
        </c:ser>
        <c:ser>
          <c:idx val="4"/>
          <c:order val="3"/>
          <c:tx>
            <c:strRef>
              <c:f>'Vorberechn-Verkehr-2011'!$B$87:$C$87</c:f>
              <c:strCache>
                <c:ptCount val="2"/>
                <c:pt idx="0">
                  <c:v>NiCd</c:v>
                </c:pt>
              </c:strCache>
            </c:strRef>
          </c:tx>
          <c:dLbls>
            <c:dLbl>
              <c:idx val="0"/>
              <c:layout>
                <c:manualLayout>
                  <c:x val="-3.0383631713555001E-2"/>
                  <c:y val="-3.5938903863432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6C-4C97-8A13-444588B33A03}"/>
                </c:ext>
              </c:extLst>
            </c:dLbl>
            <c:dLbl>
              <c:idx val="1"/>
              <c:layout>
                <c:manualLayout>
                  <c:x val="-4.3333400460492312E-2"/>
                  <c:y val="-2.875112309074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6C-4C97-8A13-444588B33A03}"/>
                </c:ext>
              </c:extLst>
            </c:dLbl>
            <c:dLbl>
              <c:idx val="2"/>
              <c:layout>
                <c:manualLayout>
                  <c:x val="-6.038369884071465E-2"/>
                  <c:y val="-2.1563342318059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6C-4C97-8A13-444588B33A03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'Vorberechn-Verkehr-2011'!$D$79:$F$79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'Vorberechn-Verkehr-2011'!$D$87:$F$87</c:f>
              <c:numCache>
                <c:formatCode>#,###\ "t"</c:formatCode>
                <c:ptCount val="3"/>
                <c:pt idx="0">
                  <c:v>803.45966666666664</c:v>
                </c:pt>
                <c:pt idx="1">
                  <c:v>1191.1289999999999</c:v>
                </c:pt>
                <c:pt idx="2">
                  <c:v>1335.867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6C-4C97-8A13-444588B33A03}"/>
            </c:ext>
          </c:extLst>
        </c:ser>
        <c:ser>
          <c:idx val="1"/>
          <c:order val="4"/>
          <c:tx>
            <c:strRef>
              <c:f>'Vorberechn-Verkehr-2011'!$B$88:$C$88</c:f>
              <c:strCache>
                <c:ptCount val="2"/>
                <c:pt idx="0">
                  <c:v>Pb</c:v>
                </c:pt>
              </c:strCache>
            </c:strRef>
          </c:tx>
          <c:dLbls>
            <c:dLbl>
              <c:idx val="0"/>
              <c:layout>
                <c:manualLayout>
                  <c:x val="-2.8832054560954841E-2"/>
                  <c:y val="2.1563342318059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6C-4C97-8A13-444588B33A03}"/>
                </c:ext>
              </c:extLst>
            </c:dLbl>
            <c:dLbl>
              <c:idx val="1"/>
              <c:layout>
                <c:manualLayout>
                  <c:x val="-3.2242114236999152E-2"/>
                  <c:y val="1.7969451931716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6C-4C97-8A13-444588B33A03}"/>
                </c:ext>
              </c:extLst>
            </c:dLbl>
            <c:dLbl>
              <c:idx val="2"/>
              <c:layout>
                <c:manualLayout>
                  <c:x val="-3.3947144075021411E-2"/>
                  <c:y val="2.1563342318059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6C-4C97-8A13-444588B33A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'Vorberechn-Verkehr-2011'!$D$79:$F$79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'Vorberechn-Verkehr-2011'!$D$88:$F$88</c:f>
              <c:numCache>
                <c:formatCode>#,###\ "t"</c:formatCode>
                <c:ptCount val="3"/>
                <c:pt idx="0">
                  <c:v>852.00099999999998</c:v>
                </c:pt>
                <c:pt idx="1">
                  <c:v>811.90600000000006</c:v>
                </c:pt>
                <c:pt idx="2">
                  <c:v>990.47599999999989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56C-4C97-8A13-444588B33A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93367504"/>
        <c:axId val="-693369680"/>
      </c:lineChart>
      <c:catAx>
        <c:axId val="-69336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693369680"/>
        <c:crosses val="autoZero"/>
        <c:auto val="1"/>
        <c:lblAlgn val="ctr"/>
        <c:lblOffset val="100"/>
        <c:noMultiLvlLbl val="0"/>
      </c:catAx>
      <c:valAx>
        <c:axId val="-693369680"/>
        <c:scaling>
          <c:orientation val="minMax"/>
        </c:scaling>
        <c:delete val="0"/>
        <c:axPos val="l"/>
        <c:majorGridlines/>
        <c:numFmt formatCode="#,###\ &quot;t&quot;" sourceLinked="1"/>
        <c:majorTickMark val="none"/>
        <c:minorTickMark val="none"/>
        <c:tickLblPos val="nextTo"/>
        <c:crossAx val="-693367504"/>
        <c:crosses val="autoZero"/>
        <c:crossBetween val="between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76490189365716188"/>
          <c:y val="0.37643370050441832"/>
          <c:w val="0.22486792731471217"/>
          <c:h val="0.32494004287199951"/>
        </c:manualLayout>
      </c:layout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 b="1" i="0" baseline="0">
                <a:latin typeface="Arial" pitchFamily="34" charset="0"/>
                <a:cs typeface="Arial" pitchFamily="34" charset="0"/>
              </a:rPr>
              <a:t>Der Anteil der chemischen Batteriesysteme am Gesamtvolumen der 43.334 t in Verkehr gebrachten Gerätebatterien 2011</a:t>
            </a:r>
            <a:endParaRPr lang="en-US" sz="1200" b="1" i="0" baseline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0930345245305879"/>
          <c:y val="3.661327231121305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277676828857925E-2"/>
          <c:y val="0.32346288521715533"/>
          <c:w val="0.95876088565852702"/>
          <c:h val="0.590764998768743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847F-4B93-BE48-5135F6FC837A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7F-4B93-BE48-5135F6FC837A}"/>
              </c:ext>
            </c:extLst>
          </c:dPt>
          <c:dPt>
            <c:idx val="3"/>
            <c:bubble3D val="0"/>
            <c:explosion val="27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847F-4B93-BE48-5135F6FC837A}"/>
              </c:ext>
            </c:extLst>
          </c:dPt>
          <c:dPt>
            <c:idx val="4"/>
            <c:bubble3D val="0"/>
            <c:explosion val="29"/>
            <c:extLst>
              <c:ext xmlns:c16="http://schemas.microsoft.com/office/drawing/2014/chart" uri="{C3380CC4-5D6E-409C-BE32-E72D297353CC}">
                <c16:uniqueId val="{00000006-847F-4B93-BE48-5135F6FC837A}"/>
              </c:ext>
            </c:extLst>
          </c:dPt>
          <c:dPt>
            <c:idx val="5"/>
            <c:bubble3D val="0"/>
            <c:explosion val="28"/>
            <c:extLst>
              <c:ext xmlns:c16="http://schemas.microsoft.com/office/drawing/2014/chart" uri="{C3380CC4-5D6E-409C-BE32-E72D297353CC}">
                <c16:uniqueId val="{00000007-847F-4B93-BE48-5135F6FC837A}"/>
              </c:ext>
            </c:extLst>
          </c:dPt>
          <c:dPt>
            <c:idx val="6"/>
            <c:bubble3D val="0"/>
            <c:explosion val="29"/>
            <c:extLst>
              <c:ext xmlns:c16="http://schemas.microsoft.com/office/drawing/2014/chart" uri="{C3380CC4-5D6E-409C-BE32-E72D297353CC}">
                <c16:uniqueId val="{00000008-847F-4B93-BE48-5135F6FC837A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1000"/>
                      <a:t>S</a:t>
                    </a:r>
                    <a:r>
                      <a:rPr lang="en-US"/>
                      <a:t>onstige Primärbatterien 3 %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7F-4B93-BE48-5135F6FC837A}"/>
                </c:ext>
              </c:extLst>
            </c:dLbl>
            <c:dLbl>
              <c:idx val="4"/>
              <c:layout>
                <c:manualLayout>
                  <c:x val="-2.2222222222222251E-2"/>
                  <c:y val="1.51942677645843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7F-4B93-BE48-5135F6FC837A}"/>
                </c:ext>
              </c:extLst>
            </c:dLbl>
            <c:dLbl>
              <c:idx val="5"/>
              <c:layout>
                <c:manualLayout>
                  <c:x val="-1.7094017094017103E-2"/>
                  <c:y val="-1.67504143419422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7F-4B93-BE48-5135F6FC837A}"/>
                </c:ext>
              </c:extLst>
            </c:dLbl>
            <c:dLbl>
              <c:idx val="6"/>
              <c:layout>
                <c:manualLayout>
                  <c:x val="5.9829059829059825E-2"/>
                  <c:y val="-5.85077208598358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7F-4B93-BE48-5135F6FC83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('Vorberechn-Verkehr-2011'!$B$115:$B$117,'Vorberechn-Verkehr-2011'!$B$120:$B$123)</c:f>
              <c:strCache>
                <c:ptCount val="7"/>
                <c:pt idx="0">
                  <c:v> Alkali-Mangan</c:v>
                </c:pt>
                <c:pt idx="1">
                  <c:v> Zink-Kohle</c:v>
                </c:pt>
                <c:pt idx="3">
                  <c:v>Li-Ion </c:v>
                </c:pt>
                <c:pt idx="4">
                  <c:v>Nickel-Metallhydrid</c:v>
                </c:pt>
                <c:pt idx="5">
                  <c:v>Nickel-Cadmium</c:v>
                </c:pt>
                <c:pt idx="6">
                  <c:v>Blei-Säure</c:v>
                </c:pt>
              </c:strCache>
            </c:strRef>
          </c:cat>
          <c:val>
            <c:numRef>
              <c:f>('Vorberechn-Verkehr-2011'!$C$115:$C$117,'Vorberechn-Verkehr-2011'!$C$120:$C$123)</c:f>
              <c:numCache>
                <c:formatCode>#,##0.00</c:formatCode>
                <c:ptCount val="7"/>
                <c:pt idx="0">
                  <c:v>55.757424495749703</c:v>
                </c:pt>
                <c:pt idx="1">
                  <c:v>13.804867210595688</c:v>
                </c:pt>
                <c:pt idx="2">
                  <c:v>2.6403639739959011</c:v>
                </c:pt>
                <c:pt idx="3">
                  <c:v>15.270734209927225</c:v>
                </c:pt>
                <c:pt idx="4">
                  <c:v>7.2194660047871766</c:v>
                </c:pt>
                <c:pt idx="5">
                  <c:v>3.0798507059490094</c:v>
                </c:pt>
                <c:pt idx="6">
                  <c:v>2.2856607080939484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7F-4B93-BE48-5135F6FC83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60198234403531"/>
          <c:y val="8.2966351302020624E-2"/>
          <c:w val="0.85753552658809784"/>
          <c:h val="0.67756586693630616"/>
        </c:manualLayout>
      </c:layout>
      <c:lineChart>
        <c:grouping val="standard"/>
        <c:varyColors val="0"/>
        <c:ser>
          <c:idx val="1"/>
          <c:order val="0"/>
          <c:tx>
            <c:strRef>
              <c:f>Daten!$C$9</c:f>
              <c:strCache>
                <c:ptCount val="1"/>
                <c:pt idx="0">
                  <c:v>Primärbatterien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5"/>
              <c:layout>
                <c:manualLayout>
                  <c:x val="-3.8720807641928374E-2"/>
                  <c:y val="-3.1267598720322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17-4136-9E34-747A6060547A}"/>
                </c:ext>
              </c:extLst>
            </c:dLbl>
            <c:dLbl>
              <c:idx val="8"/>
              <c:layout>
                <c:manualLayout>
                  <c:x val="-3.8756806479678801E-2"/>
                  <c:y val="-3.453725404246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6-4069-81C9-BEF71FA41BD7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Daten!$C$10:$C$17</c:f>
              <c:numCache>
                <c:formatCode>#,##0</c:formatCode>
                <c:ptCount val="8"/>
                <c:pt idx="0">
                  <c:v>32734</c:v>
                </c:pt>
                <c:pt idx="1">
                  <c:v>33102</c:v>
                </c:pt>
                <c:pt idx="2">
                  <c:v>34459</c:v>
                </c:pt>
                <c:pt idx="3">
                  <c:v>37124</c:v>
                </c:pt>
                <c:pt idx="4">
                  <c:v>38547</c:v>
                </c:pt>
                <c:pt idx="5">
                  <c:v>46619</c:v>
                </c:pt>
                <c:pt idx="6">
                  <c:v>42454</c:v>
                </c:pt>
                <c:pt idx="7">
                  <c:v>41794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6-4069-81C9-BEF71FA41BD7}"/>
            </c:ext>
          </c:extLst>
        </c:ser>
        <c:ser>
          <c:idx val="2"/>
          <c:order val="1"/>
          <c:tx>
            <c:strRef>
              <c:f>Daten!$D$9</c:f>
              <c:strCache>
                <c:ptCount val="1"/>
                <c:pt idx="0">
                  <c:v>Sekundärbatterien (Akkus)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solidFill>
                <a:schemeClr val="tx2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Daten!$D$10:$D$17</c:f>
              <c:numCache>
                <c:formatCode>#,##0</c:formatCode>
                <c:ptCount val="8"/>
                <c:pt idx="0">
                  <c:v>11167</c:v>
                </c:pt>
                <c:pt idx="1">
                  <c:v>12409</c:v>
                </c:pt>
                <c:pt idx="2">
                  <c:v>16184</c:v>
                </c:pt>
                <c:pt idx="3">
                  <c:v>15035</c:v>
                </c:pt>
                <c:pt idx="4">
                  <c:v>17359</c:v>
                </c:pt>
                <c:pt idx="5">
                  <c:v>18749</c:v>
                </c:pt>
                <c:pt idx="6">
                  <c:v>20756</c:v>
                </c:pt>
                <c:pt idx="7">
                  <c:v>21340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56-4069-81C9-BEF71FA41BD7}"/>
            </c:ext>
          </c:extLst>
        </c:ser>
        <c:ser>
          <c:idx val="3"/>
          <c:order val="2"/>
          <c:tx>
            <c:strRef>
              <c:f>Daten!$E$9</c:f>
              <c:strCache>
                <c:ptCount val="1"/>
                <c:pt idx="0">
                  <c:v>AlMn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pPr>
              <a:ln>
                <a:solidFill>
                  <a:schemeClr val="bg1"/>
                </a:solidFill>
              </a:ln>
            </c:spPr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Daten!$E$10:$E$17</c:f>
              <c:numCache>
                <c:formatCode>#,##0</c:formatCode>
                <c:ptCount val="8"/>
                <c:pt idx="0">
                  <c:v>26662</c:v>
                </c:pt>
                <c:pt idx="1">
                  <c:v>27195</c:v>
                </c:pt>
                <c:pt idx="2">
                  <c:v>28773</c:v>
                </c:pt>
                <c:pt idx="3">
                  <c:v>29411</c:v>
                </c:pt>
                <c:pt idx="4">
                  <c:v>32146</c:v>
                </c:pt>
                <c:pt idx="5">
                  <c:v>38390</c:v>
                </c:pt>
                <c:pt idx="6">
                  <c:v>36665</c:v>
                </c:pt>
                <c:pt idx="7">
                  <c:v>35744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56-4069-81C9-BEF71FA41BD7}"/>
            </c:ext>
          </c:extLst>
        </c:ser>
        <c:ser>
          <c:idx val="0"/>
          <c:order val="3"/>
          <c:tx>
            <c:strRef>
              <c:f>Daten!$F$9</c:f>
              <c:strCache>
                <c:ptCount val="1"/>
                <c:pt idx="0">
                  <c:v>ZnC</c:v>
                </c:pt>
              </c:strCache>
            </c:strRef>
          </c:tx>
          <c:dLbls>
            <c:dLbl>
              <c:idx val="0"/>
              <c:layout>
                <c:manualLayout>
                  <c:x val="-3.4748346974793412E-2"/>
                  <c:y val="-2.819465624634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56-4069-81C9-BEF71FA41BD7}"/>
                </c:ext>
              </c:extLst>
            </c:dLbl>
            <c:dLbl>
              <c:idx val="1"/>
              <c:layout>
                <c:manualLayout>
                  <c:x val="-3.4755538701099577E-2"/>
                  <c:y val="-2.8080565131323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41-4379-9232-908D567AE4F7}"/>
                </c:ext>
              </c:extLst>
            </c:dLbl>
            <c:dLbl>
              <c:idx val="2"/>
              <c:layout>
                <c:manualLayout>
                  <c:x val="-3.2999097853255867E-2"/>
                  <c:y val="-5.3353073749513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09-45EE-ADA1-DFA18817229A}"/>
                </c:ext>
              </c:extLst>
            </c:dLbl>
            <c:dLbl>
              <c:idx val="3"/>
              <c:layout>
                <c:manualLayout>
                  <c:x val="-3.2999097853255999E-2"/>
                  <c:y val="-4.773696072324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09-45EE-ADA1-DFA18817229A}"/>
                </c:ext>
              </c:extLst>
            </c:dLbl>
            <c:dLbl>
              <c:idx val="4"/>
              <c:layout>
                <c:manualLayout>
                  <c:x val="-3.2991906126949737E-2"/>
                  <c:y val="-5.0621077979729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56-4069-81C9-BEF71FA41BD7}"/>
                </c:ext>
              </c:extLst>
            </c:dLbl>
            <c:dLbl>
              <c:idx val="5"/>
              <c:layout>
                <c:manualLayout>
                  <c:x val="-3.2991906126949862E-2"/>
                  <c:y val="-3.9655064528917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56-4069-81C9-BEF71FA41BD7}"/>
                </c:ext>
              </c:extLst>
            </c:dLbl>
            <c:dLbl>
              <c:idx val="6"/>
              <c:layout>
                <c:manualLayout>
                  <c:x val="-3.2991906126949737E-2"/>
                  <c:y val="-4.5347238298530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56-4069-81C9-BEF71FA41BD7}"/>
                </c:ext>
              </c:extLst>
            </c:dLbl>
            <c:dLbl>
              <c:idx val="7"/>
              <c:layout>
                <c:manualLayout>
                  <c:x val="-3.3031598924062551E-2"/>
                  <c:y val="-5.119175466165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56-4069-81C9-BEF71FA41BD7}"/>
                </c:ext>
              </c:extLst>
            </c:dLbl>
            <c:dLbl>
              <c:idx val="8"/>
              <c:layout>
                <c:manualLayout>
                  <c:x val="-2.6007356859406444E-2"/>
                  <c:y val="-4.56136720070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56-4069-81C9-BEF71FA41BD7}"/>
                </c:ext>
              </c:extLst>
            </c:dLbl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Daten!$F$10:$F$17</c:f>
              <c:numCache>
                <c:formatCode>#,##0</c:formatCode>
                <c:ptCount val="8"/>
                <c:pt idx="0">
                  <c:v>4339</c:v>
                </c:pt>
                <c:pt idx="1">
                  <c:v>4221</c:v>
                </c:pt>
                <c:pt idx="2">
                  <c:v>3559</c:v>
                </c:pt>
                <c:pt idx="3">
                  <c:v>4173</c:v>
                </c:pt>
                <c:pt idx="4">
                  <c:v>4339</c:v>
                </c:pt>
                <c:pt idx="5">
                  <c:v>5275</c:v>
                </c:pt>
                <c:pt idx="6">
                  <c:v>3603</c:v>
                </c:pt>
                <c:pt idx="7">
                  <c:v>3993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F56-4069-81C9-BEF71FA41BD7}"/>
            </c:ext>
          </c:extLst>
        </c:ser>
        <c:ser>
          <c:idx val="4"/>
          <c:order val="4"/>
          <c:tx>
            <c:strRef>
              <c:f>Daten!$G$9</c:f>
              <c:strCache>
                <c:ptCount val="1"/>
                <c:pt idx="0">
                  <c:v>Lithium-Primär
(nicht wiederaufladbar)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layout>
                <c:manualLayout>
                  <c:x val="-2.9513738340932488E-2"/>
                  <c:y val="1.7000460565489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56-4069-81C9-BEF71FA41BD7}"/>
                </c:ext>
              </c:extLst>
            </c:dLbl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Daten!$G$10:$G$17</c:f>
              <c:numCache>
                <c:formatCode>#,##0</c:formatCode>
                <c:ptCount val="8"/>
                <c:pt idx="0">
                  <c:v>1237</c:v>
                </c:pt>
                <c:pt idx="1">
                  <c:v>1193</c:v>
                </c:pt>
                <c:pt idx="2">
                  <c:v>1545</c:v>
                </c:pt>
                <c:pt idx="3">
                  <c:v>1276</c:v>
                </c:pt>
                <c:pt idx="4">
                  <c:v>1320</c:v>
                </c:pt>
                <c:pt idx="5">
                  <c:v>2253</c:v>
                </c:pt>
                <c:pt idx="6">
                  <c:v>1569</c:v>
                </c:pt>
                <c:pt idx="7">
                  <c:v>1756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F56-4069-81C9-BEF71FA41BD7}"/>
            </c:ext>
          </c:extLst>
        </c:ser>
        <c:ser>
          <c:idx val="5"/>
          <c:order val="5"/>
          <c:tx>
            <c:strRef>
              <c:f>Daten!$H$9</c:f>
              <c:strCache>
                <c:ptCount val="1"/>
                <c:pt idx="0">
                  <c:v>NiMH</c:v>
                </c:pt>
              </c:strCache>
            </c:strRef>
          </c:tx>
          <c:dLbls>
            <c:dLbl>
              <c:idx val="0"/>
              <c:layout>
                <c:manualLayout>
                  <c:x val="-6.4615033114442097E-2"/>
                  <c:y val="-1.1232226052529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41-4379-9232-908D567AE4F7}"/>
                </c:ext>
              </c:extLst>
            </c:dLbl>
            <c:dLbl>
              <c:idx val="1"/>
              <c:layout>
                <c:manualLayout>
                  <c:x val="-3.4755538701099577E-2"/>
                  <c:y val="-1.1232226052529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1-4379-9232-908D567AE4F7}"/>
                </c:ext>
              </c:extLst>
            </c:dLbl>
            <c:dLbl>
              <c:idx val="2"/>
              <c:layout>
                <c:manualLayout>
                  <c:x val="-3.2959681661001175E-2"/>
                  <c:y val="-2.8080565131323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56-4069-81C9-BEF71FA41BD7}"/>
                </c:ext>
              </c:extLst>
            </c:dLbl>
            <c:dLbl>
              <c:idx val="3"/>
              <c:layout>
                <c:manualLayout>
                  <c:x val="-3.4755538701099611E-2"/>
                  <c:y val="-3.3696678157587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41-4379-9232-908D567AE4F7}"/>
                </c:ext>
              </c:extLst>
            </c:dLbl>
            <c:dLbl>
              <c:idx val="4"/>
              <c:layout>
                <c:manualLayout>
                  <c:x val="-3.2999097853255867E-2"/>
                  <c:y val="-3.0888621644455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09-45EE-ADA1-DFA18817229A}"/>
                </c:ext>
              </c:extLst>
            </c:dLbl>
            <c:dLbl>
              <c:idx val="5"/>
              <c:layout>
                <c:manualLayout>
                  <c:x val="-3.2735355121221388E-2"/>
                  <c:y val="-3.377273890093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56-4069-81C9-BEF71FA41BD7}"/>
                </c:ext>
              </c:extLst>
            </c:dLbl>
            <c:dLbl>
              <c:idx val="6"/>
              <c:layout>
                <c:manualLayout>
                  <c:x val="-4.6289822974275238E-3"/>
                  <c:y val="-3.111680387449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56-4069-81C9-BEF71FA41BD7}"/>
                </c:ext>
              </c:extLst>
            </c:dLbl>
            <c:dLbl>
              <c:idx val="7"/>
              <c:layout>
                <c:manualLayout>
                  <c:x val="-3.273533444585721E-2"/>
                  <c:y val="-1.9922666885390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56-4069-81C9-BEF71FA41BD7}"/>
                </c:ext>
              </c:extLst>
            </c:dLbl>
            <c:dLbl>
              <c:idx val="8"/>
              <c:layout>
                <c:manualLayout>
                  <c:x val="-2.2188550190850437E-2"/>
                  <c:y val="-1.7038490937163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56-4069-81C9-BEF71FA41BD7}"/>
                </c:ext>
              </c:extLst>
            </c:dLbl>
            <c:spPr>
              <a:solidFill>
                <a:srgbClr val="00B0F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Daten!$H$10:$H$17</c:f>
              <c:numCache>
                <c:formatCode>#,##0</c:formatCode>
                <c:ptCount val="8"/>
                <c:pt idx="0">
                  <c:v>2581</c:v>
                </c:pt>
                <c:pt idx="1">
                  <c:v>2103</c:v>
                </c:pt>
                <c:pt idx="2">
                  <c:v>2616</c:v>
                </c:pt>
                <c:pt idx="3">
                  <c:v>2351</c:v>
                </c:pt>
                <c:pt idx="4">
                  <c:v>2180</c:v>
                </c:pt>
                <c:pt idx="5">
                  <c:v>2448</c:v>
                </c:pt>
                <c:pt idx="6">
                  <c:v>1980</c:v>
                </c:pt>
                <c:pt idx="7">
                  <c:v>1927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F56-4069-81C9-BEF71FA41BD7}"/>
            </c:ext>
          </c:extLst>
        </c:ser>
        <c:ser>
          <c:idx val="6"/>
          <c:order val="6"/>
          <c:tx>
            <c:strRef>
              <c:f>Daten!$I$9</c:f>
              <c:strCache>
                <c:ptCount val="1"/>
                <c:pt idx="0">
                  <c:v>Li-Ion
(wiederaufladbar)</c:v>
                </c:pt>
              </c:strCache>
            </c:strRef>
          </c:tx>
          <c:spPr>
            <a:ln>
              <a:solidFill>
                <a:srgbClr val="C0C0C0"/>
              </a:solidFill>
            </a:ln>
          </c:spPr>
          <c:marker>
            <c:spPr>
              <a:solidFill>
                <a:srgbClr val="C0C0C0"/>
              </a:solidFill>
            </c:spPr>
          </c:marker>
          <c:dLbls>
            <c:dLbl>
              <c:idx val="0"/>
              <c:layout>
                <c:manualLayout>
                  <c:x val="-3.2735355121221388E-2"/>
                  <c:y val="-3.3970850604539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56-4069-81C9-BEF71FA41BD7}"/>
                </c:ext>
              </c:extLst>
            </c:dLbl>
            <c:dLbl>
              <c:idx val="1"/>
              <c:layout>
                <c:manualLayout>
                  <c:x val="-3.4716122508844788E-2"/>
                  <c:y val="-2.845954220719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06-4AEE-91EE-B03146330420}"/>
                </c:ext>
              </c:extLst>
            </c:dLbl>
            <c:dLbl>
              <c:idx val="3"/>
              <c:layout>
                <c:manualLayout>
                  <c:x val="-3.8720807641928437E-2"/>
                  <c:y val="-2.5651485694057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06-4AEE-91EE-B03146330420}"/>
                </c:ext>
              </c:extLst>
            </c:dLbl>
            <c:dLbl>
              <c:idx val="4"/>
              <c:layout>
                <c:manualLayout>
                  <c:x val="-3.8720807641928374E-2"/>
                  <c:y val="-2.8459542207189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06-4AEE-91EE-B03146330420}"/>
                </c:ext>
              </c:extLst>
            </c:dLbl>
            <c:dLbl>
              <c:idx val="6"/>
              <c:layout>
                <c:manualLayout>
                  <c:x val="-3.8180598354394718E-2"/>
                  <c:y val="-2.6950267108084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7A-484D-AC63-4462A2AE306F}"/>
                </c:ext>
              </c:extLst>
            </c:dLbl>
            <c:dLbl>
              <c:idx val="8"/>
              <c:layout>
                <c:manualLayout>
                  <c:x val="-3.8796459070571845E-2"/>
                  <c:y val="-3.4613387000378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56-4069-81C9-BEF71FA41BD7}"/>
                </c:ext>
              </c:extLst>
            </c:dLbl>
            <c:spPr>
              <a:solidFill>
                <a:srgbClr val="C0C0C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Daten!$I$10:$I$17</c:f>
              <c:numCache>
                <c:formatCode>#,##0</c:formatCode>
                <c:ptCount val="8"/>
                <c:pt idx="0">
                  <c:v>6927</c:v>
                </c:pt>
                <c:pt idx="1">
                  <c:v>8401</c:v>
                </c:pt>
                <c:pt idx="2">
                  <c:v>10307</c:v>
                </c:pt>
                <c:pt idx="3">
                  <c:v>10684</c:v>
                </c:pt>
                <c:pt idx="4">
                  <c:v>12739</c:v>
                </c:pt>
                <c:pt idx="5">
                  <c:v>14000</c:v>
                </c:pt>
                <c:pt idx="6">
                  <c:v>16103</c:v>
                </c:pt>
                <c:pt idx="7">
                  <c:v>16763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F56-4069-81C9-BEF71FA41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3364784"/>
        <c:axId val="-693374032"/>
      </c:lineChart>
      <c:catAx>
        <c:axId val="-69336478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0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-693374032"/>
        <c:crosses val="autoZero"/>
        <c:auto val="1"/>
        <c:lblAlgn val="ctr"/>
        <c:lblOffset val="100"/>
        <c:noMultiLvlLbl val="0"/>
      </c:catAx>
      <c:valAx>
        <c:axId val="-693374032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Tonnen</c:v>
                </c:pt>
              </c:strCache>
            </c:strRef>
          </c:tx>
          <c:layout>
            <c:manualLayout>
              <c:xMode val="edge"/>
              <c:yMode val="edge"/>
              <c:x val="0.10291429495288797"/>
              <c:y val="3.376942229875466E-2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-69336478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80808"/>
          </a:solidFill>
        </a:ln>
      </c:spPr>
    </c:plotArea>
    <c:legend>
      <c:legendPos val="b"/>
      <c:layout>
        <c:manualLayout>
          <c:xMode val="edge"/>
          <c:yMode val="edge"/>
          <c:x val="4.578591782873731E-2"/>
          <c:y val="0.85090987648842931"/>
          <c:w val="0.92988718564913431"/>
          <c:h val="6.77370674103267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73" footer="0.3149606299212617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142876</xdr:colOff>
      <xdr:row>152</xdr:row>
      <xdr:rowOff>19050</xdr:rowOff>
    </xdr:from>
    <xdr:to>
      <xdr:col>21</xdr:col>
      <xdr:colOff>714376</xdr:colOff>
      <xdr:row>165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1123950</xdr:colOff>
      <xdr:row>196</xdr:row>
      <xdr:rowOff>0</xdr:rowOff>
    </xdr:from>
    <xdr:to>
      <xdr:col>19</xdr:col>
      <xdr:colOff>76200</xdr:colOff>
      <xdr:row>214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1219199</xdr:colOff>
      <xdr:row>176</xdr:row>
      <xdr:rowOff>142875</xdr:rowOff>
    </xdr:from>
    <xdr:to>
      <xdr:col>19</xdr:col>
      <xdr:colOff>28574</xdr:colOff>
      <xdr:row>195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514350</xdr:colOff>
      <xdr:row>195</xdr:row>
      <xdr:rowOff>171450</xdr:rowOff>
    </xdr:from>
    <xdr:to>
      <xdr:col>7</xdr:col>
      <xdr:colOff>457200</xdr:colOff>
      <xdr:row>214</xdr:row>
      <xdr:rowOff>85725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142876</xdr:colOff>
      <xdr:row>45</xdr:row>
      <xdr:rowOff>19050</xdr:rowOff>
    </xdr:from>
    <xdr:to>
      <xdr:col>21</xdr:col>
      <xdr:colOff>714376</xdr:colOff>
      <xdr:row>58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89</xdr:row>
      <xdr:rowOff>19050</xdr:rowOff>
    </xdr:from>
    <xdr:to>
      <xdr:col>14</xdr:col>
      <xdr:colOff>533400</xdr:colOff>
      <xdr:row>108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514350</xdr:colOff>
      <xdr:row>88</xdr:row>
      <xdr:rowOff>171450</xdr:rowOff>
    </xdr:from>
    <xdr:to>
      <xdr:col>7</xdr:col>
      <xdr:colOff>457200</xdr:colOff>
      <xdr:row>107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1352550</xdr:colOff>
      <xdr:row>110</xdr:row>
      <xdr:rowOff>123825</xdr:rowOff>
    </xdr:from>
    <xdr:to>
      <xdr:col>12</xdr:col>
      <xdr:colOff>704850</xdr:colOff>
      <xdr:row>131</xdr:row>
      <xdr:rowOff>9525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0.00361</cdr:x>
      <cdr:y>0.00711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A5A37B-F021-43D6-BD59-4BB616DF453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0.00361</cdr:x>
      <cdr:y>0.00711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76E02BED-F4B1-4F2C-A533-A4494BDF52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0.78718</cdr:x>
      <cdr:y>0.26087</cdr:y>
    </cdr:from>
    <cdr:to>
      <cdr:x>0.98846</cdr:x>
      <cdr:y>0.36384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5848349" y="1085850"/>
          <a:ext cx="1495425" cy="4286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000" b="1"/>
            <a:t>Primärbatterien: 	</a:t>
          </a:r>
          <a:r>
            <a:rPr lang="de-DE" sz="1000" b="1" baseline="0"/>
            <a:t>    </a:t>
          </a:r>
          <a:r>
            <a:rPr lang="de-DE" sz="1000" b="1"/>
            <a:t>72 %</a:t>
          </a:r>
        </a:p>
        <a:p xmlns:a="http://schemas.openxmlformats.org/drawingml/2006/main">
          <a:r>
            <a:rPr lang="de-DE" sz="1000" b="1"/>
            <a:t>Sekundärbatteien:  28 %</a:t>
          </a:r>
        </a:p>
        <a:p xmlns:a="http://schemas.openxmlformats.org/drawingml/2006/main">
          <a:endParaRPr lang="de-DE" sz="10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8284</xdr:rowOff>
    </xdr:from>
    <xdr:to>
      <xdr:col>14</xdr:col>
      <xdr:colOff>72127</xdr:colOff>
      <xdr:row>21</xdr:row>
      <xdr:rowOff>17600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578316</xdr:colOff>
      <xdr:row>18</xdr:row>
      <xdr:rowOff>1094167</xdr:rowOff>
    </xdr:from>
    <xdr:to>
      <xdr:col>13</xdr:col>
      <xdr:colOff>49351</xdr:colOff>
      <xdr:row>20</xdr:row>
      <xdr:rowOff>177044</xdr:rowOff>
    </xdr:to>
    <xdr:sp macro="" textlink="Daten!X3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26191" y="4912105"/>
          <a:ext cx="4368473" cy="265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Erfolgskontrollberichte der Rücknahmesysteme für Geräte-Altbatterien 2015 bis 2022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27332</xdr:colOff>
      <xdr:row>20</xdr:row>
      <xdr:rowOff>76093</xdr:rowOff>
    </xdr:from>
    <xdr:to>
      <xdr:col>4</xdr:col>
      <xdr:colOff>919369</xdr:colOff>
      <xdr:row>22</xdr:row>
      <xdr:rowOff>20017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42680" y="5096734"/>
          <a:ext cx="1678885" cy="353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149432</xdr:colOff>
      <xdr:row>0</xdr:row>
      <xdr:rowOff>223834</xdr:rowOff>
    </xdr:from>
    <xdr:to>
      <xdr:col>13</xdr:col>
      <xdr:colOff>33475</xdr:colOff>
      <xdr:row>3</xdr:row>
      <xdr:rowOff>34854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49432" y="223834"/>
          <a:ext cx="6829356" cy="55714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Gerätebatterien: Entwicklung der in Verkehr gebrachten Primär- und Sekundärbatterien und der größten Batteriesysteme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150813</xdr:colOff>
      <xdr:row>2</xdr:row>
      <xdr:rowOff>139700</xdr:rowOff>
    </xdr:from>
    <xdr:to>
      <xdr:col>12</xdr:col>
      <xdr:colOff>865188</xdr:colOff>
      <xdr:row>3</xdr:row>
      <xdr:rowOff>168275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0813" y="647700"/>
          <a:ext cx="6723063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10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Erneut leichter Anstieg bei den wiederaufladbaren Li-Ion Batterien</a:t>
          </a:fld>
          <a:endParaRPr lang="de-DE" sz="10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16568</xdr:colOff>
      <xdr:row>1</xdr:row>
      <xdr:rowOff>11765</xdr:rowOff>
    </xdr:from>
    <xdr:to>
      <xdr:col>13</xdr:col>
      <xdr:colOff>61505</xdr:colOff>
      <xdr:row>1</xdr:row>
      <xdr:rowOff>11765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38818" y="265765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16568</xdr:colOff>
      <xdr:row>18</xdr:row>
      <xdr:rowOff>1068106</xdr:rowOff>
    </xdr:from>
    <xdr:to>
      <xdr:col>13</xdr:col>
      <xdr:colOff>61505</xdr:colOff>
      <xdr:row>18</xdr:row>
      <xdr:rowOff>1068106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238818" y="4886044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16568</xdr:colOff>
      <xdr:row>18</xdr:row>
      <xdr:rowOff>658121</xdr:rowOff>
    </xdr:from>
    <xdr:to>
      <xdr:col>13</xdr:col>
      <xdr:colOff>61505</xdr:colOff>
      <xdr:row>18</xdr:row>
      <xdr:rowOff>658121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238818" y="4476059"/>
          <a:ext cx="6768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1.5\Sicherung-Desktop\Daten%20zur%20Umwelt\DzU%20im%20Juli%202012\Gesamt%20mit%20Teilergebnis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1.5\Int\BattG\30%20111-14-76%20BattG%20Presse\Daten%20zur%20Umwelt\DzU%202015\5_Abb_Anteil-Batteriesys-Gesamtvolumen_2014-07-18_NE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1.5\Int\BattG\30%20111-14-77%20BattG%20Dokumentation\Gesamt%20mit%20Teilergebnis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i.Verkehr"/>
      <sheetName val="zurück"/>
      <sheetName val="verwertet"/>
      <sheetName val="Verwertungsergebnisse"/>
      <sheetName val="FB und IB"/>
      <sheetName val="FB und IB (Presse)"/>
      <sheetName val="Gesamt (Presse)"/>
    </sheetNames>
    <sheetDataSet>
      <sheetData sheetId="0" refreshError="1"/>
      <sheetData sheetId="1" refreshError="1">
        <row r="2">
          <cell r="B2">
            <v>2010</v>
          </cell>
          <cell r="C2" t="str">
            <v>Typengruppe</v>
          </cell>
          <cell r="D2" t="str">
            <v>System</v>
          </cell>
          <cell r="E2" t="str">
            <v xml:space="preserve"> § 15 (1) Nr. 1  BattG
Masse der in Verkehr gebrachten Batterien</v>
          </cell>
        </row>
        <row r="3">
          <cell r="E3" t="str">
            <v>[t]</v>
          </cell>
          <cell r="F3" t="str">
            <v>[%]</v>
          </cell>
        </row>
        <row r="4">
          <cell r="B4" t="str">
            <v>Primärbatterien</v>
          </cell>
          <cell r="C4" t="str">
            <v>Rundzellen / Blockbatterien</v>
          </cell>
          <cell r="D4" t="str">
            <v>ZnC</v>
          </cell>
          <cell r="E4">
            <v>5341.6236666666673</v>
          </cell>
          <cell r="F4">
            <v>12.559403744212309</v>
          </cell>
        </row>
        <row r="5">
          <cell r="D5" t="str">
            <v>AlMn</v>
          </cell>
          <cell r="E5">
            <v>25902.377666666667</v>
          </cell>
          <cell r="F5">
            <v>60.902534388713889</v>
          </cell>
        </row>
        <row r="6">
          <cell r="D6" t="str">
            <v>Zn-Luft</v>
          </cell>
          <cell r="E6">
            <v>71.167666666666662</v>
          </cell>
          <cell r="F6">
            <v>0.16733179178793767</v>
          </cell>
        </row>
        <row r="7">
          <cell r="D7" t="str">
            <v>Li</v>
          </cell>
          <cell r="E7">
            <v>295.79999999999995</v>
          </cell>
          <cell r="F7">
            <v>0.69549482692334941</v>
          </cell>
        </row>
        <row r="8">
          <cell r="C8" t="str">
            <v>Knopfzellen</v>
          </cell>
          <cell r="D8" t="str">
            <v>AgO</v>
          </cell>
          <cell r="E8">
            <v>30.125</v>
          </cell>
          <cell r="F8">
            <v>7.0830904871757625E-2</v>
          </cell>
        </row>
        <row r="9">
          <cell r="D9" t="str">
            <v>AlMn</v>
          </cell>
          <cell r="E9">
            <v>401.02610000000004</v>
          </cell>
          <cell r="F9">
            <v>0.94290594324288668</v>
          </cell>
        </row>
        <row r="10">
          <cell r="D10" t="str">
            <v>Zn-Luft</v>
          </cell>
          <cell r="E10">
            <v>113.824</v>
          </cell>
          <cell r="F10">
            <v>0.26762678559744196</v>
          </cell>
        </row>
        <row r="11">
          <cell r="D11" t="str">
            <v>Li</v>
          </cell>
          <cell r="E11">
            <v>209.13900000000001</v>
          </cell>
          <cell r="F11">
            <v>0.49173459299500477</v>
          </cell>
        </row>
        <row r="12">
          <cell r="D12" t="str">
            <v>Sonstige (HgO)</v>
          </cell>
          <cell r="E12">
            <v>1.8879999999999999</v>
          </cell>
          <cell r="F12">
            <v>4.4391285775229336E-3</v>
          </cell>
        </row>
        <row r="13">
          <cell r="C13" t="str">
            <v>Summe</v>
          </cell>
          <cell r="E13">
            <v>32366.971099999999</v>
          </cell>
          <cell r="F13">
            <v>76.102302106922096</v>
          </cell>
        </row>
        <row r="14">
          <cell r="B14" t="str">
            <v>Sekundärbatterien</v>
          </cell>
          <cell r="C14" t="str">
            <v>Rund-/Prismatische Zellen / Blockbatterien</v>
          </cell>
          <cell r="D14" t="str">
            <v>AlMn</v>
          </cell>
          <cell r="E14">
            <v>32.404000000000003</v>
          </cell>
          <cell r="F14">
            <v>7.6189365691765459E-2</v>
          </cell>
        </row>
        <row r="15">
          <cell r="D15" t="str">
            <v>Li-Ion</v>
          </cell>
          <cell r="E15">
            <v>5368.8078000000005</v>
          </cell>
          <cell r="F15">
            <v>12.623319985279679</v>
          </cell>
        </row>
        <row r="16">
          <cell r="D16" t="str">
            <v>NiMH</v>
          </cell>
          <cell r="E16">
            <v>2731.67</v>
          </cell>
          <cell r="F16">
            <v>6.4227936236027929</v>
          </cell>
        </row>
        <row r="17">
          <cell r="D17" t="str">
            <v>NiCd</v>
          </cell>
          <cell r="E17">
            <v>1188.798</v>
          </cell>
          <cell r="F17">
            <v>2.7951415120244221</v>
          </cell>
        </row>
        <row r="18">
          <cell r="D18" t="str">
            <v>Pb</v>
          </cell>
          <cell r="E18">
            <v>811.90600000000006</v>
          </cell>
          <cell r="F18">
            <v>1.9089804697364066</v>
          </cell>
        </row>
        <row r="19">
          <cell r="C19" t="str">
            <v>Knopfzellen</v>
          </cell>
          <cell r="D19" t="str">
            <v>Li-Ion</v>
          </cell>
          <cell r="E19">
            <v>17.858000000000001</v>
          </cell>
          <cell r="F19">
            <v>4.1988325284642247E-2</v>
          </cell>
        </row>
        <row r="20">
          <cell r="D20" t="str">
            <v>NiMH</v>
          </cell>
          <cell r="E20">
            <v>10.123999999999999</v>
          </cell>
          <cell r="F20">
            <v>2.3803886503624035E-2</v>
          </cell>
        </row>
        <row r="21">
          <cell r="D21" t="str">
            <v>NiCd</v>
          </cell>
          <cell r="E21">
            <v>2.331</v>
          </cell>
          <cell r="F21">
            <v>5.4807249545582408E-3</v>
          </cell>
        </row>
        <row r="22">
          <cell r="D22" t="str">
            <v>Sonstige</v>
          </cell>
          <cell r="E22">
            <v>0</v>
          </cell>
          <cell r="F22">
            <v>0</v>
          </cell>
        </row>
        <row r="23">
          <cell r="C23" t="str">
            <v>Summe</v>
          </cell>
          <cell r="E23">
            <v>10163.898800000003</v>
          </cell>
          <cell r="F23">
            <v>23.897697893077893</v>
          </cell>
        </row>
        <row r="24">
          <cell r="C24" t="str">
            <v>Gesamt</v>
          </cell>
          <cell r="E24">
            <v>42530.869900000005</v>
          </cell>
          <cell r="F24">
            <v>99.999999999999986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berechn-Verkehr"/>
      <sheetName val="Vorberechn-Gesamt"/>
      <sheetName val="Vorberechn-zurück"/>
      <sheetName val="Vorberechn-verwertet"/>
      <sheetName val="Daten"/>
      <sheetName val="Diagramm"/>
    </sheetNames>
    <sheetDataSet>
      <sheetData sheetId="0">
        <row r="114">
          <cell r="P114">
            <v>1999</v>
          </cell>
          <cell r="Q114">
            <v>2000</v>
          </cell>
          <cell r="R114">
            <v>2001</v>
          </cell>
          <cell r="S114">
            <v>2002</v>
          </cell>
          <cell r="T114">
            <v>2003</v>
          </cell>
          <cell r="U114">
            <v>2004</v>
          </cell>
          <cell r="V114">
            <v>2005</v>
          </cell>
          <cell r="W114">
            <v>2006</v>
          </cell>
          <cell r="X114">
            <v>2007</v>
          </cell>
          <cell r="Y114">
            <v>2008</v>
          </cell>
          <cell r="Z114">
            <v>2009</v>
          </cell>
          <cell r="AA114">
            <v>2010</v>
          </cell>
          <cell r="AB114">
            <v>2011</v>
          </cell>
        </row>
        <row r="115">
          <cell r="O115" t="str">
            <v>Tsd.</v>
          </cell>
          <cell r="P115">
            <v>394</v>
          </cell>
          <cell r="Q115">
            <v>432</v>
          </cell>
          <cell r="R115">
            <v>466</v>
          </cell>
          <cell r="S115">
            <v>532</v>
          </cell>
          <cell r="T115">
            <v>587</v>
          </cell>
          <cell r="U115">
            <v>616</v>
          </cell>
          <cell r="V115">
            <v>736</v>
          </cell>
          <cell r="W115">
            <v>808</v>
          </cell>
          <cell r="X115">
            <v>901</v>
          </cell>
          <cell r="Y115">
            <v>991</v>
          </cell>
          <cell r="Z115">
            <v>1218</v>
          </cell>
          <cell r="AA115">
            <v>2394</v>
          </cell>
          <cell r="AB115">
            <v>2536</v>
          </cell>
        </row>
        <row r="152">
          <cell r="D152">
            <v>2009</v>
          </cell>
          <cell r="E152">
            <v>2010</v>
          </cell>
          <cell r="F152">
            <v>2011</v>
          </cell>
          <cell r="G152">
            <v>2012</v>
          </cell>
          <cell r="H152">
            <v>2013</v>
          </cell>
        </row>
        <row r="153">
          <cell r="C153" t="str">
            <v>Primärbatterien</v>
          </cell>
          <cell r="D153">
            <v>30362.848000000002</v>
          </cell>
          <cell r="E153">
            <v>32366.971099999999</v>
          </cell>
          <cell r="F153">
            <v>31211.600765999996</v>
          </cell>
          <cell r="G153">
            <v>32001.046000000002</v>
          </cell>
          <cell r="H153">
            <v>31184.773999999994</v>
          </cell>
        </row>
        <row r="154">
          <cell r="C154" t="str">
            <v>Sekundärbatterien</v>
          </cell>
          <cell r="D154">
            <v>6934.6617999999989</v>
          </cell>
          <cell r="E154">
            <v>10163.898800000003</v>
          </cell>
          <cell r="F154">
            <v>12122.740000000002</v>
          </cell>
          <cell r="G154">
            <v>11547.918</v>
          </cell>
          <cell r="H154">
            <v>11256.054</v>
          </cell>
        </row>
        <row r="155">
          <cell r="C155" t="str">
            <v>AlMn</v>
          </cell>
          <cell r="D155">
            <v>26364.293333333335</v>
          </cell>
          <cell r="E155">
            <v>25902.377666666667</v>
          </cell>
          <cell r="F155">
            <v>24162.112333333331</v>
          </cell>
          <cell r="G155">
            <v>25296.800333333336</v>
          </cell>
          <cell r="H155">
            <v>25569.058666666664</v>
          </cell>
        </row>
        <row r="156">
          <cell r="C156" t="str">
            <v>ZnC</v>
          </cell>
          <cell r="D156">
            <v>3217.1933333333336</v>
          </cell>
          <cell r="E156">
            <v>5341.6236666666673</v>
          </cell>
          <cell r="F156">
            <v>5982.2481993333331</v>
          </cell>
          <cell r="G156">
            <v>5337.3753333333334</v>
          </cell>
          <cell r="H156">
            <v>4366.5756666666657</v>
          </cell>
        </row>
        <row r="157">
          <cell r="C157" t="str">
            <v>Li</v>
          </cell>
          <cell r="D157">
            <v>464.44149999999996</v>
          </cell>
          <cell r="E157">
            <v>504.93899999999996</v>
          </cell>
          <cell r="F157">
            <v>582.99890000000005</v>
          </cell>
          <cell r="G157">
            <v>713.75400000000002</v>
          </cell>
          <cell r="H157">
            <v>771.73399999999992</v>
          </cell>
        </row>
        <row r="158">
          <cell r="C158" t="str">
            <v>Li-Ion</v>
          </cell>
          <cell r="D158">
            <v>3219.8886666666667</v>
          </cell>
          <cell r="E158">
            <v>5386.6658000000007</v>
          </cell>
          <cell r="F158">
            <v>6633.1050000000005</v>
          </cell>
          <cell r="G158">
            <v>6911.1619999999994</v>
          </cell>
          <cell r="H158">
            <v>6402.4530000000013</v>
          </cell>
        </row>
        <row r="159">
          <cell r="C159" t="str">
            <v>NiMH</v>
          </cell>
          <cell r="D159">
            <v>2041.3124666666668</v>
          </cell>
          <cell r="E159">
            <v>2741.7939999999999</v>
          </cell>
          <cell r="F159">
            <v>3137.6430000000005</v>
          </cell>
          <cell r="G159">
            <v>2616.0890000000004</v>
          </cell>
          <cell r="H159">
            <v>2858.116</v>
          </cell>
        </row>
        <row r="160">
          <cell r="C160" t="str">
            <v>NiCd</v>
          </cell>
          <cell r="D160">
            <v>803.45966666666664</v>
          </cell>
          <cell r="E160">
            <v>1191.1289999999999</v>
          </cell>
          <cell r="F160">
            <v>1335.867</v>
          </cell>
          <cell r="G160">
            <v>1008.8050000000001</v>
          </cell>
          <cell r="H160">
            <v>775.28099999999995</v>
          </cell>
        </row>
        <row r="161">
          <cell r="C161" t="str">
            <v>Pb</v>
          </cell>
          <cell r="D161">
            <v>852.00099999999998</v>
          </cell>
          <cell r="E161">
            <v>811.90600000000006</v>
          </cell>
          <cell r="F161">
            <v>990.47599999999989</v>
          </cell>
          <cell r="G161">
            <v>991.7120000000001</v>
          </cell>
          <cell r="H161">
            <v>1196.3269999999998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i.Verkehr"/>
      <sheetName val="zurück"/>
      <sheetName val="verwertet"/>
      <sheetName val="Verwertungsergebnisse"/>
      <sheetName val="FB und IB"/>
      <sheetName val="FB und IB (Presse)"/>
      <sheetName val="Gesamt (Presse)"/>
    </sheetNames>
    <sheetDataSet>
      <sheetData sheetId="0"/>
      <sheetData sheetId="1">
        <row r="2">
          <cell r="B2">
            <v>2010</v>
          </cell>
          <cell r="C2" t="str">
            <v>Typengruppe</v>
          </cell>
          <cell r="D2" t="str">
            <v>System</v>
          </cell>
          <cell r="E2" t="str">
            <v xml:space="preserve"> § 15 (1) Nr. 1  BattG
Masse der in Verkehr gebrachten Batterien</v>
          </cell>
        </row>
        <row r="3">
          <cell r="E3" t="str">
            <v>[t]</v>
          </cell>
          <cell r="F3" t="str">
            <v>[%]</v>
          </cell>
        </row>
        <row r="4">
          <cell r="B4" t="str">
            <v>Primärbatterien</v>
          </cell>
          <cell r="C4" t="str">
            <v>Rundzellen / Blockbatterien</v>
          </cell>
          <cell r="D4" t="str">
            <v>ZnC</v>
          </cell>
          <cell r="E4">
            <v>5341.6236666666673</v>
          </cell>
          <cell r="F4">
            <v>12.559403744212309</v>
          </cell>
        </row>
        <row r="5">
          <cell r="D5" t="str">
            <v>AlMn</v>
          </cell>
          <cell r="E5">
            <v>25902.377666666667</v>
          </cell>
          <cell r="F5">
            <v>60.902534388713889</v>
          </cell>
        </row>
        <row r="6">
          <cell r="D6" t="str">
            <v>Zn-Luft</v>
          </cell>
          <cell r="E6">
            <v>71.167666666666662</v>
          </cell>
          <cell r="F6">
            <v>0.16733179178793767</v>
          </cell>
        </row>
        <row r="7">
          <cell r="D7" t="str">
            <v>Li</v>
          </cell>
          <cell r="E7">
            <v>295.79999999999995</v>
          </cell>
          <cell r="F7">
            <v>0.69549482692334941</v>
          </cell>
        </row>
        <row r="8">
          <cell r="C8" t="str">
            <v>Knopfzellen</v>
          </cell>
          <cell r="D8" t="str">
            <v>AgO</v>
          </cell>
          <cell r="E8">
            <v>30.125</v>
          </cell>
          <cell r="F8">
            <v>7.0830904871757625E-2</v>
          </cell>
        </row>
        <row r="9">
          <cell r="D9" t="str">
            <v>AlMn</v>
          </cell>
          <cell r="E9">
            <v>401.02610000000004</v>
          </cell>
          <cell r="F9">
            <v>0.94290594324288668</v>
          </cell>
        </row>
        <row r="10">
          <cell r="D10" t="str">
            <v>Zn-Luft</v>
          </cell>
          <cell r="E10">
            <v>113.824</v>
          </cell>
          <cell r="F10">
            <v>0.26762678559744196</v>
          </cell>
        </row>
        <row r="11">
          <cell r="D11" t="str">
            <v>Li</v>
          </cell>
          <cell r="E11">
            <v>209.13900000000001</v>
          </cell>
          <cell r="F11">
            <v>0.49173459299500477</v>
          </cell>
        </row>
        <row r="12">
          <cell r="D12" t="str">
            <v>Sonstige (HgO)</v>
          </cell>
          <cell r="E12">
            <v>1.8879999999999999</v>
          </cell>
          <cell r="F12">
            <v>4.4391285775229336E-3</v>
          </cell>
        </row>
        <row r="13">
          <cell r="C13" t="str">
            <v>Summe</v>
          </cell>
          <cell r="E13">
            <v>32366.971099999999</v>
          </cell>
          <cell r="F13">
            <v>76.102302106922096</v>
          </cell>
        </row>
        <row r="14">
          <cell r="B14" t="str">
            <v>Sekundärbatterien</v>
          </cell>
          <cell r="C14" t="str">
            <v>Rund-/Prismatische Zellen / Blockbatterien</v>
          </cell>
          <cell r="D14" t="str">
            <v>AlMn</v>
          </cell>
          <cell r="E14">
            <v>32.404000000000003</v>
          </cell>
          <cell r="F14">
            <v>7.6189365691765459E-2</v>
          </cell>
        </row>
        <row r="15">
          <cell r="D15" t="str">
            <v>Li-Ion</v>
          </cell>
          <cell r="E15">
            <v>5368.8078000000005</v>
          </cell>
          <cell r="F15">
            <v>12.623319985279679</v>
          </cell>
        </row>
        <row r="16">
          <cell r="D16" t="str">
            <v>NiMH</v>
          </cell>
          <cell r="E16">
            <v>2731.67</v>
          </cell>
          <cell r="F16">
            <v>6.4227936236027929</v>
          </cell>
        </row>
        <row r="17">
          <cell r="D17" t="str">
            <v>NiCd</v>
          </cell>
          <cell r="E17">
            <v>1188.798</v>
          </cell>
          <cell r="F17">
            <v>2.7951415120244221</v>
          </cell>
        </row>
        <row r="18">
          <cell r="D18" t="str">
            <v>Pb</v>
          </cell>
          <cell r="E18">
            <v>811.90600000000006</v>
          </cell>
          <cell r="F18">
            <v>1.9089804697364066</v>
          </cell>
        </row>
        <row r="19">
          <cell r="C19" t="str">
            <v>Knopfzellen</v>
          </cell>
          <cell r="D19" t="str">
            <v>Li-Ion</v>
          </cell>
          <cell r="E19">
            <v>17.858000000000001</v>
          </cell>
          <cell r="F19">
            <v>4.1988325284642247E-2</v>
          </cell>
        </row>
        <row r="20">
          <cell r="D20" t="str">
            <v>NiMH</v>
          </cell>
          <cell r="E20">
            <v>10.123999999999999</v>
          </cell>
          <cell r="F20">
            <v>2.3803886503624035E-2</v>
          </cell>
        </row>
        <row r="21">
          <cell r="D21" t="str">
            <v>NiCd</v>
          </cell>
          <cell r="E21">
            <v>2.331</v>
          </cell>
          <cell r="F21">
            <v>5.4807249545582408E-3</v>
          </cell>
        </row>
        <row r="22">
          <cell r="D22" t="str">
            <v>Sonstige</v>
          </cell>
          <cell r="E22">
            <v>0</v>
          </cell>
          <cell r="F22">
            <v>0</v>
          </cell>
        </row>
        <row r="23">
          <cell r="C23" t="str">
            <v>Summe</v>
          </cell>
          <cell r="E23">
            <v>10163.898800000003</v>
          </cell>
          <cell r="F23">
            <v>23.897697893077893</v>
          </cell>
        </row>
        <row r="24">
          <cell r="C24" t="str">
            <v>Gesamt</v>
          </cell>
          <cell r="E24">
            <v>42530.869900000005</v>
          </cell>
          <cell r="F24">
            <v>99.999999999999986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32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5.7109375" style="207" customWidth="1"/>
    <col min="2" max="2" width="11.42578125" style="207"/>
    <col min="3" max="3" width="21.140625" style="207" customWidth="1"/>
    <col min="4" max="4" width="14" style="207" customWidth="1"/>
    <col min="5" max="5" width="20.42578125" style="207" customWidth="1"/>
    <col min="6" max="6" width="22.7109375" style="207" customWidth="1"/>
    <col min="7" max="11" width="11.42578125" style="207"/>
    <col min="12" max="12" width="20.85546875" style="207" customWidth="1"/>
    <col min="13" max="14" width="24.7109375" style="207" customWidth="1"/>
    <col min="15" max="16384" width="11.42578125" style="207"/>
  </cols>
  <sheetData>
    <row r="2" spans="1:16" ht="18.75" x14ac:dyDescent="0.3">
      <c r="A2" s="297" t="s">
        <v>93</v>
      </c>
      <c r="B2" s="297" t="s">
        <v>94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5"/>
      <c r="O2" s="255"/>
      <c r="P2" s="255"/>
    </row>
    <row r="3" spans="1:16" x14ac:dyDescent="0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  <c r="N3" s="255"/>
      <c r="O3" s="255"/>
      <c r="P3" s="255"/>
    </row>
    <row r="4" spans="1:16" x14ac:dyDescent="0.2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6"/>
      <c r="N4" s="255"/>
      <c r="O4" s="255"/>
      <c r="P4" s="255"/>
    </row>
    <row r="5" spans="1:16" x14ac:dyDescent="0.2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84"/>
      <c r="L5" s="288"/>
      <c r="M5" s="305" t="s">
        <v>70</v>
      </c>
      <c r="N5" s="306" t="s">
        <v>73</v>
      </c>
      <c r="O5" s="307" t="s">
        <v>71</v>
      </c>
      <c r="P5" s="306" t="s">
        <v>14</v>
      </c>
    </row>
    <row r="6" spans="1:16" ht="89.25" x14ac:dyDescent="0.25">
      <c r="A6" s="255"/>
      <c r="B6" s="269">
        <v>2014</v>
      </c>
      <c r="C6" s="269" t="s">
        <v>10</v>
      </c>
      <c r="D6" s="269" t="s">
        <v>11</v>
      </c>
      <c r="E6" s="375" t="s">
        <v>95</v>
      </c>
      <c r="F6" s="376"/>
      <c r="G6" s="255"/>
      <c r="H6" s="255"/>
      <c r="I6" s="255"/>
      <c r="J6" s="298">
        <v>2014</v>
      </c>
      <c r="K6" s="285" t="s">
        <v>21</v>
      </c>
      <c r="L6" s="289" t="s">
        <v>22</v>
      </c>
      <c r="M6" s="286" t="s">
        <v>12</v>
      </c>
      <c r="N6" s="290" t="s">
        <v>23</v>
      </c>
      <c r="O6" s="287" t="s">
        <v>23</v>
      </c>
      <c r="P6" s="290" t="s">
        <v>23</v>
      </c>
    </row>
    <row r="7" spans="1:16" x14ac:dyDescent="0.25">
      <c r="A7" s="255"/>
      <c r="B7" s="277"/>
      <c r="C7" s="277"/>
      <c r="D7" s="258"/>
      <c r="E7" s="278" t="s">
        <v>15</v>
      </c>
      <c r="F7" s="278" t="s">
        <v>16</v>
      </c>
      <c r="G7" s="255"/>
      <c r="H7" s="255"/>
      <c r="I7" s="255"/>
      <c r="J7" s="255"/>
      <c r="K7" s="281"/>
      <c r="L7" s="281"/>
      <c r="M7" s="282" t="s">
        <v>15</v>
      </c>
      <c r="N7" s="283" t="s">
        <v>25</v>
      </c>
      <c r="O7" s="283" t="s">
        <v>25</v>
      </c>
      <c r="P7" s="283" t="s">
        <v>25</v>
      </c>
    </row>
    <row r="8" spans="1:16" ht="25.5" x14ac:dyDescent="0.25">
      <c r="A8" s="255"/>
      <c r="B8" s="377" t="s">
        <v>18</v>
      </c>
      <c r="C8" s="379" t="s">
        <v>19</v>
      </c>
      <c r="D8" s="258" t="s">
        <v>20</v>
      </c>
      <c r="E8" s="270">
        <v>4082.1483253333327</v>
      </c>
      <c r="F8" s="292">
        <v>9.2819493861360333E-2</v>
      </c>
      <c r="G8" s="255"/>
      <c r="H8" s="255"/>
      <c r="I8" s="255"/>
      <c r="J8" s="255"/>
      <c r="K8" s="382" t="s">
        <v>27</v>
      </c>
      <c r="L8" s="260" t="s">
        <v>28</v>
      </c>
      <c r="M8" s="301">
        <v>1952</v>
      </c>
      <c r="N8" s="310">
        <v>2095.8799919999997</v>
      </c>
      <c r="O8" s="294">
        <v>33.153333333333329</v>
      </c>
      <c r="P8" s="312">
        <v>1.115</v>
      </c>
    </row>
    <row r="9" spans="1:16" ht="25.5" x14ac:dyDescent="0.25">
      <c r="A9" s="255"/>
      <c r="B9" s="378"/>
      <c r="C9" s="380"/>
      <c r="D9" s="258" t="s">
        <v>24</v>
      </c>
      <c r="E9" s="270">
        <v>26881.60974033333</v>
      </c>
      <c r="F9" s="292">
        <v>0.61123144271652852</v>
      </c>
      <c r="G9" s="255"/>
      <c r="H9" s="255"/>
      <c r="I9" s="255"/>
      <c r="J9" s="255"/>
      <c r="K9" s="382"/>
      <c r="L9" s="261" t="s">
        <v>30</v>
      </c>
      <c r="M9" s="301">
        <v>22309</v>
      </c>
      <c r="N9" s="310">
        <v>3518.3714070000001</v>
      </c>
      <c r="O9" s="294">
        <v>33.153333333333329</v>
      </c>
      <c r="P9" s="312">
        <v>1021.085</v>
      </c>
    </row>
    <row r="10" spans="1:16" ht="25.5" x14ac:dyDescent="0.25">
      <c r="A10" s="255"/>
      <c r="B10" s="378"/>
      <c r="C10" s="380"/>
      <c r="D10" s="258" t="s">
        <v>26</v>
      </c>
      <c r="E10" s="270">
        <v>52.963376333333329</v>
      </c>
      <c r="F10" s="292">
        <v>1.204276129297023E-3</v>
      </c>
      <c r="G10" s="255"/>
      <c r="H10" s="255"/>
      <c r="I10" s="255"/>
      <c r="J10" s="255"/>
      <c r="K10" s="382"/>
      <c r="L10" s="261" t="s">
        <v>33</v>
      </c>
      <c r="M10" s="301">
        <v>18</v>
      </c>
      <c r="N10" s="310">
        <v>1.8100429999999998</v>
      </c>
      <c r="O10" s="294">
        <v>33.153333333333329</v>
      </c>
      <c r="P10" s="312">
        <v>0</v>
      </c>
    </row>
    <row r="11" spans="1:16" ht="25.5" x14ac:dyDescent="0.25">
      <c r="A11" s="255"/>
      <c r="B11" s="378"/>
      <c r="C11" s="381"/>
      <c r="D11" s="258" t="s">
        <v>29</v>
      </c>
      <c r="E11" s="270">
        <v>588.535933</v>
      </c>
      <c r="F11" s="292">
        <v>1.338207313077552E-2</v>
      </c>
      <c r="G11" s="255"/>
      <c r="H11" s="255"/>
      <c r="I11" s="255"/>
      <c r="J11" s="255"/>
      <c r="K11" s="382"/>
      <c r="L11" s="261" t="s">
        <v>34</v>
      </c>
      <c r="M11" s="301">
        <v>349</v>
      </c>
      <c r="N11" s="310">
        <v>225.45593299999996</v>
      </c>
      <c r="O11" s="294">
        <v>7.032</v>
      </c>
      <c r="P11" s="312">
        <v>7.048</v>
      </c>
    </row>
    <row r="12" spans="1:16" ht="25.5" x14ac:dyDescent="0.25">
      <c r="A12" s="255"/>
      <c r="B12" s="378"/>
      <c r="C12" s="383" t="s">
        <v>31</v>
      </c>
      <c r="D12" s="258" t="s">
        <v>32</v>
      </c>
      <c r="E12" s="270">
        <v>47.378177000000001</v>
      </c>
      <c r="F12" s="292">
        <v>1.0772804069668024E-3</v>
      </c>
      <c r="G12" s="255"/>
      <c r="H12" s="255"/>
      <c r="I12" s="255"/>
      <c r="J12" s="255"/>
      <c r="K12" s="386" t="s">
        <v>35</v>
      </c>
      <c r="L12" s="261" t="s">
        <v>36</v>
      </c>
      <c r="M12" s="301">
        <v>38</v>
      </c>
      <c r="N12" s="310">
        <v>8.3291769999999978</v>
      </c>
      <c r="O12" s="294">
        <v>4.7E-2</v>
      </c>
      <c r="P12" s="312">
        <v>1.002</v>
      </c>
    </row>
    <row r="13" spans="1:16" ht="25.5" x14ac:dyDescent="0.25">
      <c r="A13" s="255"/>
      <c r="B13" s="378"/>
      <c r="C13" s="384"/>
      <c r="D13" s="258" t="s">
        <v>24</v>
      </c>
      <c r="E13" s="270">
        <v>146.39863499999998</v>
      </c>
      <c r="F13" s="292">
        <v>3.3287980052964963E-3</v>
      </c>
      <c r="G13" s="255"/>
      <c r="H13" s="255"/>
      <c r="I13" s="255"/>
      <c r="J13" s="255"/>
      <c r="K13" s="386"/>
      <c r="L13" s="261" t="s">
        <v>30</v>
      </c>
      <c r="M13" s="301">
        <v>122</v>
      </c>
      <c r="N13" s="310">
        <v>21.238635000000002</v>
      </c>
      <c r="O13" s="294">
        <v>0.67200000000000004</v>
      </c>
      <c r="P13" s="312">
        <v>2.488</v>
      </c>
    </row>
    <row r="14" spans="1:16" ht="25.5" x14ac:dyDescent="0.25">
      <c r="A14" s="255"/>
      <c r="B14" s="378"/>
      <c r="C14" s="384"/>
      <c r="D14" s="258" t="s">
        <v>26</v>
      </c>
      <c r="E14" s="270">
        <v>195.52373500000002</v>
      </c>
      <c r="F14" s="292">
        <v>4.4457997785028588E-3</v>
      </c>
      <c r="G14" s="255"/>
      <c r="H14" s="255"/>
      <c r="I14" s="300"/>
      <c r="J14" s="255"/>
      <c r="K14" s="386"/>
      <c r="L14" s="261" t="s">
        <v>33</v>
      </c>
      <c r="M14" s="301">
        <v>150</v>
      </c>
      <c r="N14" s="310">
        <v>44.866735000000006</v>
      </c>
      <c r="O14" s="294">
        <v>0.19600000000000001</v>
      </c>
      <c r="P14" s="312">
        <v>0.46100000000000002</v>
      </c>
    </row>
    <row r="15" spans="1:16" ht="25.5" x14ac:dyDescent="0.25">
      <c r="A15" s="255"/>
      <c r="B15" s="378"/>
      <c r="C15" s="385"/>
      <c r="D15" s="258" t="s">
        <v>29</v>
      </c>
      <c r="E15" s="270">
        <v>400.17231200000003</v>
      </c>
      <c r="F15" s="292">
        <v>9.0990793319930038E-3</v>
      </c>
      <c r="G15" s="255"/>
      <c r="H15" s="255"/>
      <c r="I15" s="255"/>
      <c r="J15" s="255"/>
      <c r="K15" s="386"/>
      <c r="L15" s="261" t="s">
        <v>34</v>
      </c>
      <c r="M15" s="301">
        <v>347</v>
      </c>
      <c r="N15" s="310">
        <v>36.424311999999993</v>
      </c>
      <c r="O15" s="294">
        <v>1.4990000000000001</v>
      </c>
      <c r="P15" s="312">
        <v>15.249000000000001</v>
      </c>
    </row>
    <row r="16" spans="1:16" ht="25.5" x14ac:dyDescent="0.25">
      <c r="A16" s="255"/>
      <c r="B16" s="378"/>
      <c r="C16" s="271"/>
      <c r="D16" s="258" t="s">
        <v>37</v>
      </c>
      <c r="E16" s="270">
        <v>29.444454999999998</v>
      </c>
      <c r="F16" s="292">
        <v>6.6950517039344288E-4</v>
      </c>
      <c r="G16" s="255"/>
      <c r="H16" s="255"/>
      <c r="I16" s="255"/>
      <c r="J16" s="255"/>
      <c r="K16" s="262"/>
      <c r="L16" s="261" t="s">
        <v>41</v>
      </c>
      <c r="M16" s="301">
        <v>0</v>
      </c>
      <c r="N16" s="310">
        <v>29.444454999999998</v>
      </c>
      <c r="O16" s="294">
        <v>0</v>
      </c>
      <c r="P16" s="312">
        <v>0</v>
      </c>
    </row>
    <row r="17" spans="1:17" ht="25.5" x14ac:dyDescent="0.25">
      <c r="A17" s="255"/>
      <c r="B17" s="272"/>
      <c r="C17" s="273" t="s">
        <v>38</v>
      </c>
      <c r="D17" s="259"/>
      <c r="E17" s="275">
        <v>32424.174688999992</v>
      </c>
      <c r="F17" s="314">
        <v>0.73725774853111392</v>
      </c>
      <c r="G17" s="255"/>
      <c r="H17" s="255"/>
      <c r="I17" s="255"/>
      <c r="J17" s="255"/>
      <c r="K17" s="263" t="s">
        <v>43</v>
      </c>
      <c r="L17" s="264"/>
      <c r="M17" s="302">
        <v>25285</v>
      </c>
      <c r="N17" s="309">
        <v>5981.8206889999992</v>
      </c>
      <c r="O17" s="309">
        <v>108.90599999999996</v>
      </c>
      <c r="P17" s="309">
        <v>1048.4480000000001</v>
      </c>
    </row>
    <row r="18" spans="1:17" ht="25.5" x14ac:dyDescent="0.25">
      <c r="B18" s="387" t="s">
        <v>39</v>
      </c>
      <c r="C18" s="391" t="s">
        <v>40</v>
      </c>
      <c r="D18" s="258" t="s">
        <v>24</v>
      </c>
      <c r="E18" s="270">
        <v>19.459</v>
      </c>
      <c r="F18" s="292">
        <v>4.4245686023687672E-4</v>
      </c>
      <c r="G18" s="255"/>
      <c r="H18" s="255"/>
      <c r="I18" s="255"/>
      <c r="J18" s="255"/>
      <c r="K18" s="392" t="s">
        <v>76</v>
      </c>
      <c r="L18" s="261" t="s">
        <v>30</v>
      </c>
      <c r="M18" s="301">
        <v>19</v>
      </c>
      <c r="N18" s="308">
        <v>0</v>
      </c>
      <c r="O18" s="294">
        <v>0</v>
      </c>
      <c r="P18" s="312">
        <v>0.45900000000000002</v>
      </c>
      <c r="Q18" s="255"/>
    </row>
    <row r="19" spans="1:17" ht="25.5" x14ac:dyDescent="0.25">
      <c r="B19" s="388"/>
      <c r="C19" s="391"/>
      <c r="D19" s="258" t="s">
        <v>42</v>
      </c>
      <c r="E19" s="270">
        <v>6673.6048900000005</v>
      </c>
      <c r="F19" s="292">
        <v>0.15174378262453711</v>
      </c>
      <c r="G19" s="255"/>
      <c r="H19" s="255"/>
      <c r="I19" s="255"/>
      <c r="J19" s="255"/>
      <c r="K19" s="392"/>
      <c r="L19" s="261" t="s">
        <v>47</v>
      </c>
      <c r="M19" s="301">
        <v>5216</v>
      </c>
      <c r="N19" s="310">
        <v>986.10388999999986</v>
      </c>
      <c r="O19" s="294">
        <v>48.982999999999997</v>
      </c>
      <c r="P19" s="312">
        <v>422.51799999999997</v>
      </c>
      <c r="Q19" s="255"/>
    </row>
    <row r="20" spans="1:17" ht="25.5" x14ac:dyDescent="0.25">
      <c r="B20" s="388"/>
      <c r="C20" s="391"/>
      <c r="D20" s="258" t="s">
        <v>44</v>
      </c>
      <c r="E20" s="270">
        <v>2887.4984939999999</v>
      </c>
      <c r="F20" s="292">
        <v>6.5655661523919523E-2</v>
      </c>
      <c r="G20" s="255"/>
      <c r="H20" s="255"/>
      <c r="I20" s="255"/>
      <c r="J20" s="255"/>
      <c r="K20" s="392"/>
      <c r="L20" s="265" t="s">
        <v>49</v>
      </c>
      <c r="M20" s="301">
        <v>2294</v>
      </c>
      <c r="N20" s="310">
        <v>443.19049400000006</v>
      </c>
      <c r="O20" s="294">
        <v>4.056</v>
      </c>
      <c r="P20" s="312">
        <v>146.25200000000001</v>
      </c>
      <c r="Q20" s="255"/>
    </row>
    <row r="21" spans="1:17" ht="25.5" x14ac:dyDescent="0.25">
      <c r="B21" s="388"/>
      <c r="C21" s="391"/>
      <c r="D21" s="258" t="s">
        <v>46</v>
      </c>
      <c r="E21" s="270">
        <v>567.94494000000009</v>
      </c>
      <c r="F21" s="292">
        <v>1.2913877123172896E-2</v>
      </c>
      <c r="G21" s="255"/>
      <c r="H21" s="255"/>
      <c r="I21" s="255"/>
      <c r="J21" s="255"/>
      <c r="K21" s="392"/>
      <c r="L21" s="261" t="s">
        <v>50</v>
      </c>
      <c r="M21" s="301">
        <v>426</v>
      </c>
      <c r="N21" s="310">
        <v>132.62794000000002</v>
      </c>
      <c r="O21" s="294">
        <v>7.5999999999999998E-2</v>
      </c>
      <c r="P21" s="312">
        <v>9.2409999999999997</v>
      </c>
      <c r="Q21" s="255"/>
    </row>
    <row r="22" spans="1:17" ht="25.5" x14ac:dyDescent="0.25">
      <c r="B22" s="388"/>
      <c r="C22" s="391"/>
      <c r="D22" s="258" t="s">
        <v>48</v>
      </c>
      <c r="E22" s="270">
        <v>1381.7170169999999</v>
      </c>
      <c r="F22" s="292">
        <v>3.1417347914984489E-2</v>
      </c>
      <c r="G22" s="255"/>
      <c r="H22" s="255"/>
      <c r="I22" s="255"/>
      <c r="J22" s="255"/>
      <c r="K22" s="392"/>
      <c r="L22" s="266" t="s">
        <v>51</v>
      </c>
      <c r="M22" s="301">
        <v>846</v>
      </c>
      <c r="N22" s="310">
        <v>483.90001699999993</v>
      </c>
      <c r="O22" s="294">
        <v>4.0000000000000001E-3</v>
      </c>
      <c r="P22" s="312">
        <v>51.813000000000002</v>
      </c>
      <c r="Q22" s="255"/>
    </row>
    <row r="23" spans="1:17" ht="25.5" x14ac:dyDescent="0.25">
      <c r="B23" s="388"/>
      <c r="C23" s="393" t="s">
        <v>31</v>
      </c>
      <c r="D23" s="258" t="s">
        <v>42</v>
      </c>
      <c r="E23" s="270">
        <v>13.340787000000001</v>
      </c>
      <c r="F23" s="292">
        <v>3.0334152469854269E-4</v>
      </c>
      <c r="G23" s="255"/>
      <c r="H23" s="255"/>
      <c r="I23" s="255"/>
      <c r="J23" s="255"/>
      <c r="K23" s="386" t="s">
        <v>35</v>
      </c>
      <c r="L23" s="261" t="s">
        <v>47</v>
      </c>
      <c r="M23" s="301">
        <v>12</v>
      </c>
      <c r="N23" s="310">
        <v>0.87778699999999987</v>
      </c>
      <c r="O23" s="294">
        <v>0.36499999999999999</v>
      </c>
      <c r="P23" s="312">
        <v>9.8000000000000004E-2</v>
      </c>
      <c r="Q23" s="255"/>
    </row>
    <row r="24" spans="1:17" ht="25.5" x14ac:dyDescent="0.25">
      <c r="B24" s="388"/>
      <c r="C24" s="393"/>
      <c r="D24" s="258" t="s">
        <v>44</v>
      </c>
      <c r="E24" s="270">
        <v>11.681224</v>
      </c>
      <c r="F24" s="292">
        <v>2.6560654169092198E-4</v>
      </c>
      <c r="G24" s="255"/>
      <c r="H24" s="255"/>
      <c r="I24" s="255"/>
      <c r="J24" s="255"/>
      <c r="K24" s="386"/>
      <c r="L24" s="261" t="s">
        <v>49</v>
      </c>
      <c r="M24" s="301">
        <v>11</v>
      </c>
      <c r="N24" s="310">
        <v>0.61822400000000011</v>
      </c>
      <c r="O24" s="294">
        <v>4.7E-2</v>
      </c>
      <c r="P24" s="312">
        <v>1.6E-2</v>
      </c>
      <c r="Q24" s="255"/>
    </row>
    <row r="25" spans="1:17" ht="25.5" x14ac:dyDescent="0.25">
      <c r="B25" s="388"/>
      <c r="C25" s="393"/>
      <c r="D25" s="258" t="s">
        <v>46</v>
      </c>
      <c r="E25" s="270">
        <v>7.7999999999999996E-3</v>
      </c>
      <c r="F25" s="292">
        <v>1.7735564570880508E-7</v>
      </c>
      <c r="G25" s="255"/>
      <c r="H25" s="255"/>
      <c r="I25" s="255"/>
      <c r="J25" s="255"/>
      <c r="K25" s="386"/>
      <c r="L25" s="261" t="s">
        <v>50</v>
      </c>
      <c r="M25" s="301">
        <v>0</v>
      </c>
      <c r="N25" s="310">
        <v>7.7999999999999996E-3</v>
      </c>
      <c r="O25" s="294">
        <v>0</v>
      </c>
      <c r="P25" s="312">
        <v>0</v>
      </c>
      <c r="Q25" s="255"/>
    </row>
    <row r="26" spans="1:17" ht="25.5" x14ac:dyDescent="0.25">
      <c r="B26" s="389"/>
      <c r="C26" s="274"/>
      <c r="D26" s="258" t="s">
        <v>52</v>
      </c>
      <c r="E26" s="270">
        <v>0</v>
      </c>
      <c r="F26" s="292">
        <v>0</v>
      </c>
      <c r="G26" s="255"/>
      <c r="H26" s="255"/>
      <c r="I26" s="255"/>
      <c r="J26" s="255"/>
      <c r="K26" s="262"/>
      <c r="L26" s="261" t="s">
        <v>41</v>
      </c>
      <c r="M26" s="301">
        <v>0</v>
      </c>
      <c r="N26" s="308">
        <v>0</v>
      </c>
      <c r="O26" s="294">
        <v>0</v>
      </c>
      <c r="P26" s="312">
        <v>0</v>
      </c>
      <c r="Q26" s="255"/>
    </row>
    <row r="27" spans="1:17" ht="25.5" x14ac:dyDescent="0.25">
      <c r="B27" s="390"/>
      <c r="C27" s="273" t="s">
        <v>38</v>
      </c>
      <c r="D27" s="259"/>
      <c r="E27" s="275">
        <v>11555.254152</v>
      </c>
      <c r="F27" s="314">
        <v>0.26274225146888602</v>
      </c>
      <c r="G27" s="255"/>
      <c r="H27" s="255"/>
      <c r="I27" s="255"/>
      <c r="J27" s="255"/>
      <c r="K27" s="263" t="s">
        <v>43</v>
      </c>
      <c r="L27" s="264"/>
      <c r="M27" s="302">
        <v>8824</v>
      </c>
      <c r="N27" s="309">
        <v>2047.3261519999999</v>
      </c>
      <c r="O27" s="309">
        <v>53.530999999999992</v>
      </c>
      <c r="P27" s="309">
        <v>630.39699999999993</v>
      </c>
      <c r="Q27" s="255"/>
    </row>
    <row r="28" spans="1:17" ht="25.5" x14ac:dyDescent="0.25">
      <c r="B28" s="279"/>
      <c r="C28" s="273" t="s">
        <v>53</v>
      </c>
      <c r="D28" s="259"/>
      <c r="E28" s="276">
        <v>43979.428840999994</v>
      </c>
      <c r="F28" s="314">
        <v>1</v>
      </c>
      <c r="G28" s="255"/>
      <c r="H28" s="255"/>
      <c r="I28" s="255"/>
      <c r="J28" s="255"/>
      <c r="K28" s="262"/>
      <c r="L28" s="261" t="s">
        <v>54</v>
      </c>
      <c r="M28" s="303"/>
      <c r="N28" s="313"/>
      <c r="O28" s="313"/>
      <c r="P28" s="313"/>
      <c r="Q28" s="255"/>
    </row>
    <row r="29" spans="1:17" ht="25.5" x14ac:dyDescent="0.25">
      <c r="B29" s="255"/>
      <c r="C29" s="255"/>
      <c r="D29" s="255"/>
      <c r="E29" s="255"/>
      <c r="F29" s="255"/>
      <c r="G29" s="255"/>
      <c r="H29" s="255"/>
      <c r="I29" s="255"/>
      <c r="J29" s="255"/>
      <c r="K29" s="267" t="s">
        <v>55</v>
      </c>
      <c r="L29" s="291" t="s">
        <v>96</v>
      </c>
      <c r="M29" s="304">
        <v>34109</v>
      </c>
      <c r="N29" s="311">
        <v>8029.1468409999989</v>
      </c>
      <c r="O29" s="311">
        <v>162.43699999999995</v>
      </c>
      <c r="P29" s="311">
        <v>1678.845</v>
      </c>
      <c r="Q29" s="268">
        <v>43979.428841000001</v>
      </c>
    </row>
    <row r="30" spans="1:17" ht="38.25" x14ac:dyDescent="0.25">
      <c r="B30" s="255"/>
      <c r="C30" s="255"/>
      <c r="D30" s="255"/>
      <c r="E30" s="257"/>
      <c r="F30" s="255"/>
      <c r="G30" s="255"/>
      <c r="H30" s="255"/>
      <c r="I30" s="255"/>
      <c r="J30" s="255"/>
      <c r="K30" s="293" t="s">
        <v>55</v>
      </c>
      <c r="L30" s="293" t="s">
        <v>97</v>
      </c>
      <c r="M30" s="294">
        <v>32423</v>
      </c>
      <c r="N30" s="294">
        <v>8439.7570000000014</v>
      </c>
      <c r="O30" s="294">
        <v>176.47800000000001</v>
      </c>
      <c r="P30" s="294">
        <v>1401.5930000000001</v>
      </c>
      <c r="Q30" s="255"/>
    </row>
    <row r="31" spans="1:17" ht="51" x14ac:dyDescent="0.25">
      <c r="B31" s="255"/>
      <c r="C31" s="255"/>
      <c r="D31" s="255"/>
      <c r="E31" s="255"/>
      <c r="F31" s="255"/>
      <c r="G31" s="255"/>
      <c r="H31" s="255"/>
      <c r="I31" s="255"/>
      <c r="J31" s="255"/>
      <c r="K31" s="293" t="s">
        <v>55</v>
      </c>
      <c r="L31" s="293" t="s">
        <v>98</v>
      </c>
      <c r="M31" s="294">
        <v>32934</v>
      </c>
      <c r="N31" s="294">
        <v>8856.6790000000019</v>
      </c>
      <c r="O31" s="294">
        <v>171.45500000000001</v>
      </c>
      <c r="P31" s="294">
        <v>1586.8300000000002</v>
      </c>
      <c r="Q31" s="255"/>
    </row>
    <row r="32" spans="1:17" x14ac:dyDescent="0.25">
      <c r="B32" s="255"/>
      <c r="C32" s="255"/>
      <c r="D32" s="255"/>
      <c r="E32" s="255"/>
      <c r="F32" s="255"/>
      <c r="G32" s="255"/>
      <c r="H32" s="255"/>
      <c r="I32" s="255"/>
      <c r="J32" s="255"/>
      <c r="K32" s="295" t="s">
        <v>80</v>
      </c>
      <c r="L32" s="295"/>
      <c r="M32" s="299">
        <v>33155.333333333336</v>
      </c>
      <c r="N32" s="299">
        <v>8441.860947000001</v>
      </c>
      <c r="O32" s="299">
        <v>170.12333333333333</v>
      </c>
      <c r="P32" s="299">
        <v>1555.7560000000001</v>
      </c>
      <c r="Q32" s="296">
        <v>43323.073613666675</v>
      </c>
    </row>
    <row r="33" spans="2:17" x14ac:dyDescent="0.25"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96"/>
    </row>
    <row r="34" spans="2:17" x14ac:dyDescent="0.25"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 t="s">
        <v>81</v>
      </c>
      <c r="M34" s="280">
        <v>0.76530427247604549</v>
      </c>
      <c r="N34" s="280">
        <v>0.19485831089179545</v>
      </c>
      <c r="O34" s="280">
        <v>3.9268528094383937E-3</v>
      </c>
      <c r="P34" s="280">
        <v>3.5910563822720606E-2</v>
      </c>
      <c r="Q34" s="296"/>
    </row>
    <row r="35" spans="2:17" s="143" customFormat="1" x14ac:dyDescent="0.2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96"/>
    </row>
    <row r="36" spans="2:17" s="143" customFormat="1" x14ac:dyDescent="0.25">
      <c r="N36" s="145"/>
    </row>
    <row r="37" spans="2:17" s="143" customFormat="1" x14ac:dyDescent="0.25">
      <c r="N37" s="144"/>
    </row>
    <row r="38" spans="2:17" s="143" customFormat="1" ht="25.5" x14ac:dyDescent="0.25">
      <c r="L38" s="146"/>
      <c r="M38" s="147"/>
      <c r="N38" s="148" t="s">
        <v>70</v>
      </c>
      <c r="O38" s="149" t="s">
        <v>73</v>
      </c>
      <c r="P38" s="150" t="s">
        <v>71</v>
      </c>
      <c r="Q38" s="149" t="s">
        <v>14</v>
      </c>
    </row>
    <row r="39" spans="2:17" s="143" customFormat="1" ht="89.25" x14ac:dyDescent="0.25">
      <c r="B39" s="151">
        <v>2013</v>
      </c>
      <c r="C39" s="151" t="s">
        <v>10</v>
      </c>
      <c r="D39" s="151" t="s">
        <v>11</v>
      </c>
      <c r="E39" s="322" t="s">
        <v>74</v>
      </c>
      <c r="F39" s="323"/>
      <c r="K39" s="152">
        <v>2013</v>
      </c>
      <c r="L39" s="153" t="s">
        <v>21</v>
      </c>
      <c r="M39" s="154" t="s">
        <v>22</v>
      </c>
      <c r="N39" s="155" t="s">
        <v>12</v>
      </c>
      <c r="O39" s="156" t="s">
        <v>75</v>
      </c>
      <c r="P39" s="157" t="s">
        <v>75</v>
      </c>
      <c r="Q39" s="156" t="s">
        <v>75</v>
      </c>
    </row>
    <row r="40" spans="2:17" s="143" customFormat="1" x14ac:dyDescent="0.25">
      <c r="B40" s="158"/>
      <c r="C40" s="158"/>
      <c r="D40" s="159"/>
      <c r="E40" s="160" t="s">
        <v>15</v>
      </c>
      <c r="F40" s="160" t="s">
        <v>16</v>
      </c>
      <c r="L40" s="161"/>
      <c r="M40" s="161"/>
      <c r="N40" s="162" t="s">
        <v>15</v>
      </c>
      <c r="O40" s="163" t="s">
        <v>25</v>
      </c>
      <c r="P40" s="163" t="s">
        <v>25</v>
      </c>
      <c r="Q40" s="163" t="s">
        <v>25</v>
      </c>
    </row>
    <row r="41" spans="2:17" s="143" customFormat="1" ht="25.5" x14ac:dyDescent="0.25">
      <c r="B41" s="324" t="s">
        <v>18</v>
      </c>
      <c r="C41" s="326" t="s">
        <v>19</v>
      </c>
      <c r="D41" s="159" t="s">
        <v>20</v>
      </c>
      <c r="E41" s="164">
        <f>SUM(N41:Q41)</f>
        <v>4366.5756666666657</v>
      </c>
      <c r="F41" s="247">
        <f>E41/$E$61*100</f>
        <v>10.288620350825074</v>
      </c>
      <c r="H41" s="170"/>
      <c r="L41" s="329" t="s">
        <v>27</v>
      </c>
      <c r="M41" s="165" t="s">
        <v>28</v>
      </c>
      <c r="N41" s="166">
        <v>2073</v>
      </c>
      <c r="O41" s="167">
        <v>2251.2469999999998</v>
      </c>
      <c r="P41" s="167">
        <f>124.259/3</f>
        <v>41.419666666666664</v>
      </c>
      <c r="Q41" s="167">
        <v>0.90900000000000003</v>
      </c>
    </row>
    <row r="42" spans="2:17" s="143" customFormat="1" ht="25.5" x14ac:dyDescent="0.25">
      <c r="B42" s="325"/>
      <c r="C42" s="327"/>
      <c r="D42" s="159" t="s">
        <v>24</v>
      </c>
      <c r="E42" s="164">
        <f t="shared" ref="E42:E48" si="0">SUM(N42:Q42)</f>
        <v>25569.058666666664</v>
      </c>
      <c r="F42" s="247">
        <f t="shared" ref="F42:F60" si="1">E42/$E$61*100</f>
        <v>60.246370939479945</v>
      </c>
      <c r="H42" s="170"/>
      <c r="L42" s="329"/>
      <c r="M42" s="168" t="s">
        <v>30</v>
      </c>
      <c r="N42" s="166">
        <v>20514</v>
      </c>
      <c r="O42" s="167">
        <v>3947.2280000000001</v>
      </c>
      <c r="P42" s="167">
        <f t="shared" ref="P42" si="2">124.259/3</f>
        <v>41.419666666666664</v>
      </c>
      <c r="Q42" s="167">
        <v>1066.4110000000001</v>
      </c>
    </row>
    <row r="43" spans="2:17" s="143" customFormat="1" ht="25.5" x14ac:dyDescent="0.25">
      <c r="B43" s="325"/>
      <c r="C43" s="327"/>
      <c r="D43" s="159" t="s">
        <v>26</v>
      </c>
      <c r="E43" s="164">
        <f t="shared" si="0"/>
        <v>54.699666666666666</v>
      </c>
      <c r="F43" s="247">
        <f t="shared" si="1"/>
        <v>0.12888454171220851</v>
      </c>
      <c r="G43" s="169">
        <v>1.2888454171220852E-3</v>
      </c>
      <c r="H43" s="170"/>
      <c r="L43" s="329"/>
      <c r="M43" s="168" t="s">
        <v>33</v>
      </c>
      <c r="N43" s="166">
        <v>10</v>
      </c>
      <c r="O43" s="167">
        <v>3.28</v>
      </c>
      <c r="P43" s="167">
        <f>124.259/3</f>
        <v>41.419666666666664</v>
      </c>
      <c r="Q43" s="167">
        <v>0</v>
      </c>
    </row>
    <row r="44" spans="2:17" s="143" customFormat="1" ht="25.5" x14ac:dyDescent="0.25">
      <c r="B44" s="325"/>
      <c r="C44" s="328"/>
      <c r="D44" s="159" t="s">
        <v>29</v>
      </c>
      <c r="E44" s="164">
        <f t="shared" si="0"/>
        <v>426.53</v>
      </c>
      <c r="F44" s="247">
        <f t="shared" si="1"/>
        <v>1.0049992427103449</v>
      </c>
      <c r="G44" s="169">
        <v>1.0049992427103449E-2</v>
      </c>
      <c r="H44" s="170"/>
      <c r="L44" s="329"/>
      <c r="M44" s="168" t="s">
        <v>34</v>
      </c>
      <c r="N44" s="166">
        <v>254</v>
      </c>
      <c r="O44" s="167">
        <v>162.09299999999999</v>
      </c>
      <c r="P44" s="167">
        <v>5.0170000000000003</v>
      </c>
      <c r="Q44" s="167">
        <v>5.42</v>
      </c>
    </row>
    <row r="45" spans="2:17" s="143" customFormat="1" ht="25.5" x14ac:dyDescent="0.25">
      <c r="B45" s="325"/>
      <c r="C45" s="330" t="s">
        <v>31</v>
      </c>
      <c r="D45" s="159" t="s">
        <v>32</v>
      </c>
      <c r="E45" s="164">
        <f t="shared" si="0"/>
        <v>44.738</v>
      </c>
      <c r="F45" s="247">
        <f t="shared" si="1"/>
        <v>0.10541264652046847</v>
      </c>
      <c r="G45" s="169">
        <v>1.0541264652046847E-3</v>
      </c>
      <c r="H45" s="170"/>
      <c r="L45" s="333" t="s">
        <v>35</v>
      </c>
      <c r="M45" s="168" t="s">
        <v>36</v>
      </c>
      <c r="N45" s="166">
        <v>25</v>
      </c>
      <c r="O45" s="167">
        <v>18.831</v>
      </c>
      <c r="P45" s="167">
        <v>0.05</v>
      </c>
      <c r="Q45" s="167">
        <v>0.85699999999999998</v>
      </c>
    </row>
    <row r="46" spans="2:17" s="143" customFormat="1" ht="25.5" x14ac:dyDescent="0.25">
      <c r="B46" s="325"/>
      <c r="C46" s="331"/>
      <c r="D46" s="159" t="s">
        <v>24</v>
      </c>
      <c r="E46" s="164">
        <f t="shared" si="0"/>
        <v>173.31899999999999</v>
      </c>
      <c r="F46" s="247">
        <f t="shared" si="1"/>
        <v>0.40837798923244384</v>
      </c>
      <c r="G46" s="169">
        <v>4.0837798923244384E-3</v>
      </c>
      <c r="H46" s="170"/>
      <c r="L46" s="333"/>
      <c r="M46" s="168" t="s">
        <v>30</v>
      </c>
      <c r="N46" s="166">
        <v>127</v>
      </c>
      <c r="O46" s="167">
        <v>42.585000000000001</v>
      </c>
      <c r="P46" s="167">
        <v>1.1339999999999999</v>
      </c>
      <c r="Q46" s="167">
        <v>2.6</v>
      </c>
    </row>
    <row r="47" spans="2:17" s="143" customFormat="1" ht="25.5" x14ac:dyDescent="0.25">
      <c r="B47" s="325"/>
      <c r="C47" s="331"/>
      <c r="D47" s="159" t="s">
        <v>26</v>
      </c>
      <c r="E47" s="164">
        <f t="shared" si="0"/>
        <v>201.994</v>
      </c>
      <c r="F47" s="247">
        <f t="shared" si="1"/>
        <v>0.47594264654780066</v>
      </c>
      <c r="G47" s="169">
        <v>4.7594264654780066E-3</v>
      </c>
      <c r="H47" s="170"/>
      <c r="L47" s="333"/>
      <c r="M47" s="168" t="s">
        <v>33</v>
      </c>
      <c r="N47" s="166">
        <v>149</v>
      </c>
      <c r="O47" s="167">
        <v>52.627000000000002</v>
      </c>
      <c r="P47" s="167">
        <v>0.19600000000000001</v>
      </c>
      <c r="Q47" s="167">
        <v>0.17100000000000001</v>
      </c>
    </row>
    <row r="48" spans="2:17" s="143" customFormat="1" ht="25.5" x14ac:dyDescent="0.25">
      <c r="B48" s="325"/>
      <c r="C48" s="332"/>
      <c r="D48" s="159" t="s">
        <v>29</v>
      </c>
      <c r="E48" s="164">
        <f t="shared" si="0"/>
        <v>345.20400000000001</v>
      </c>
      <c r="F48" s="247">
        <f t="shared" si="1"/>
        <v>0.81337715654369436</v>
      </c>
      <c r="G48" s="169">
        <v>8.1337715654369435E-3</v>
      </c>
      <c r="H48" s="170"/>
      <c r="L48" s="333"/>
      <c r="M48" s="168" t="s">
        <v>34</v>
      </c>
      <c r="N48" s="166">
        <v>300</v>
      </c>
      <c r="O48" s="167">
        <v>34.85</v>
      </c>
      <c r="P48" s="167">
        <v>1.3120000000000001</v>
      </c>
      <c r="Q48" s="167">
        <v>9.0419999999999998</v>
      </c>
    </row>
    <row r="49" spans="2:17" s="143" customFormat="1" ht="25.5" x14ac:dyDescent="0.25">
      <c r="B49" s="325"/>
      <c r="C49" s="171"/>
      <c r="D49" s="159" t="s">
        <v>37</v>
      </c>
      <c r="E49" s="164">
        <f>SUM(N49:Q49)</f>
        <v>2.6549999999999998</v>
      </c>
      <c r="F49" s="247">
        <f t="shared" si="1"/>
        <v>6.2557686197828189E-3</v>
      </c>
      <c r="G49" s="169">
        <v>6.2557686197828191E-5</v>
      </c>
      <c r="H49" s="170"/>
      <c r="L49" s="172"/>
      <c r="M49" s="168" t="s">
        <v>41</v>
      </c>
      <c r="N49" s="166">
        <v>0</v>
      </c>
      <c r="O49" s="167">
        <v>2.6549999999999998</v>
      </c>
      <c r="P49" s="167">
        <v>0</v>
      </c>
      <c r="Q49" s="167">
        <v>0</v>
      </c>
    </row>
    <row r="50" spans="2:17" s="143" customFormat="1" ht="25.5" x14ac:dyDescent="0.25">
      <c r="B50" s="173"/>
      <c r="C50" s="250" t="s">
        <v>38</v>
      </c>
      <c r="D50" s="251"/>
      <c r="E50" s="248">
        <f>SUM(E41:E49)</f>
        <v>31184.773999999994</v>
      </c>
      <c r="F50" s="249">
        <f t="shared" si="1"/>
        <v>73.47824128219176</v>
      </c>
      <c r="G50" s="169">
        <f>SUM(G43:G49)</f>
        <v>2.9432499918867438E-2</v>
      </c>
      <c r="H50" s="254"/>
      <c r="L50" s="174" t="s">
        <v>43</v>
      </c>
      <c r="M50" s="175"/>
      <c r="N50" s="176">
        <f>SUM(N41:N49)</f>
        <v>23452</v>
      </c>
      <c r="O50" s="177">
        <f>SUM(O41:O49)</f>
        <v>6515.3960000000006</v>
      </c>
      <c r="P50" s="177">
        <f>SUM(P41:P49)</f>
        <v>131.96799999999999</v>
      </c>
      <c r="Q50" s="177">
        <f>SUM(Q41:Q49)</f>
        <v>1085.4100000000001</v>
      </c>
    </row>
    <row r="51" spans="2:17" s="143" customFormat="1" ht="25.5" x14ac:dyDescent="0.25">
      <c r="B51" s="334" t="s">
        <v>39</v>
      </c>
      <c r="C51" s="338" t="s">
        <v>40</v>
      </c>
      <c r="D51" s="159" t="s">
        <v>24</v>
      </c>
      <c r="E51" s="164">
        <f>SUM(N51:Q51)</f>
        <v>23.876999999999999</v>
      </c>
      <c r="F51" s="247">
        <f t="shared" si="1"/>
        <v>5.6259505587402781E-2</v>
      </c>
      <c r="H51" s="170"/>
      <c r="L51" s="339" t="s">
        <v>76</v>
      </c>
      <c r="M51" s="168" t="s">
        <v>30</v>
      </c>
      <c r="N51" s="166">
        <v>22</v>
      </c>
      <c r="O51" s="167">
        <v>0</v>
      </c>
      <c r="P51" s="167">
        <v>0</v>
      </c>
      <c r="Q51" s="167">
        <v>1.877</v>
      </c>
    </row>
    <row r="52" spans="2:17" s="143" customFormat="1" ht="25.5" x14ac:dyDescent="0.25">
      <c r="B52" s="335"/>
      <c r="C52" s="338"/>
      <c r="D52" s="159" t="s">
        <v>42</v>
      </c>
      <c r="E52" s="164">
        <f t="shared" ref="E52:E59" si="3">SUM(N52:Q52)</f>
        <v>6386.3170000000009</v>
      </c>
      <c r="F52" s="247">
        <f t="shared" si="1"/>
        <v>15.04757871359155</v>
      </c>
      <c r="G52" s="178">
        <f>F52+F56</f>
        <v>15.085598706980935</v>
      </c>
      <c r="H52" s="170"/>
      <c r="L52" s="339"/>
      <c r="M52" s="168" t="s">
        <v>47</v>
      </c>
      <c r="N52" s="166">
        <v>5185</v>
      </c>
      <c r="O52" s="167">
        <v>1010.769</v>
      </c>
      <c r="P52" s="167">
        <v>36.203000000000003</v>
      </c>
      <c r="Q52" s="167">
        <v>154.345</v>
      </c>
    </row>
    <row r="53" spans="2:17" s="143" customFormat="1" ht="25.5" x14ac:dyDescent="0.25">
      <c r="B53" s="335"/>
      <c r="C53" s="338"/>
      <c r="D53" s="159" t="s">
        <v>44</v>
      </c>
      <c r="E53" s="164">
        <f t="shared" si="3"/>
        <v>2843.94</v>
      </c>
      <c r="F53" s="247">
        <f t="shared" si="1"/>
        <v>6.7009531482279296</v>
      </c>
      <c r="G53" s="178">
        <f>F53+F57</f>
        <v>6.7343549470806758</v>
      </c>
      <c r="H53" s="170"/>
      <c r="L53" s="339"/>
      <c r="M53" s="179" t="s">
        <v>49</v>
      </c>
      <c r="N53" s="166">
        <v>2341</v>
      </c>
      <c r="O53" s="167">
        <v>358.63</v>
      </c>
      <c r="P53" s="167">
        <v>5.008</v>
      </c>
      <c r="Q53" s="167">
        <v>139.30199999999999</v>
      </c>
    </row>
    <row r="54" spans="2:17" s="143" customFormat="1" ht="25.5" x14ac:dyDescent="0.25">
      <c r="B54" s="335"/>
      <c r="C54" s="338"/>
      <c r="D54" s="159" t="s">
        <v>46</v>
      </c>
      <c r="E54" s="164">
        <f t="shared" si="3"/>
        <v>757.005</v>
      </c>
      <c r="F54" s="247">
        <f t="shared" si="1"/>
        <v>1.7836716097998844</v>
      </c>
      <c r="G54" s="178">
        <f>F54+F58</f>
        <v>1.8267339176323329</v>
      </c>
      <c r="H54" s="170"/>
      <c r="L54" s="339"/>
      <c r="M54" s="168" t="s">
        <v>50</v>
      </c>
      <c r="N54" s="166">
        <v>554</v>
      </c>
      <c r="O54" s="167">
        <v>200.99600000000001</v>
      </c>
      <c r="P54" s="167">
        <v>2.0089999999999999</v>
      </c>
      <c r="Q54" s="167">
        <v>0</v>
      </c>
    </row>
    <row r="55" spans="2:17" s="143" customFormat="1" ht="25.5" x14ac:dyDescent="0.25">
      <c r="B55" s="335"/>
      <c r="C55" s="338"/>
      <c r="D55" s="159" t="s">
        <v>48</v>
      </c>
      <c r="E55" s="164">
        <f t="shared" si="3"/>
        <v>1196.3269999999998</v>
      </c>
      <c r="F55" s="247">
        <f t="shared" si="1"/>
        <v>2.8188116405269001</v>
      </c>
      <c r="H55" s="170"/>
      <c r="L55" s="339"/>
      <c r="M55" s="180" t="s">
        <v>51</v>
      </c>
      <c r="N55" s="166">
        <v>840</v>
      </c>
      <c r="O55" s="167">
        <v>352.97500000000002</v>
      </c>
      <c r="P55" s="167">
        <v>0.68400000000000005</v>
      </c>
      <c r="Q55" s="167">
        <v>2.6680000000000001</v>
      </c>
    </row>
    <row r="56" spans="2:17" s="143" customFormat="1" ht="25.5" x14ac:dyDescent="0.25">
      <c r="B56" s="335"/>
      <c r="C56" s="340" t="s">
        <v>31</v>
      </c>
      <c r="D56" s="159" t="s">
        <v>42</v>
      </c>
      <c r="E56" s="164">
        <f t="shared" si="3"/>
        <v>16.135999999999999</v>
      </c>
      <c r="F56" s="247">
        <f t="shared" si="1"/>
        <v>3.8019993389384395E-2</v>
      </c>
      <c r="H56" s="170"/>
      <c r="L56" s="333" t="s">
        <v>35</v>
      </c>
      <c r="M56" s="168" t="s">
        <v>47</v>
      </c>
      <c r="N56" s="166">
        <v>15</v>
      </c>
      <c r="O56" s="167">
        <v>0.57599999999999996</v>
      </c>
      <c r="P56" s="167">
        <v>0.56000000000000005</v>
      </c>
      <c r="Q56" s="167">
        <v>0</v>
      </c>
    </row>
    <row r="57" spans="2:17" s="143" customFormat="1" ht="25.5" x14ac:dyDescent="0.25">
      <c r="B57" s="335"/>
      <c r="C57" s="340"/>
      <c r="D57" s="159" t="s">
        <v>44</v>
      </c>
      <c r="E57" s="164">
        <f t="shared" si="3"/>
        <v>14.176</v>
      </c>
      <c r="F57" s="247">
        <f t="shared" si="1"/>
        <v>3.3401798852746231E-2</v>
      </c>
      <c r="H57" s="170"/>
      <c r="L57" s="333"/>
      <c r="M57" s="168" t="s">
        <v>49</v>
      </c>
      <c r="N57" s="166">
        <v>14</v>
      </c>
      <c r="O57" s="167">
        <v>0.13</v>
      </c>
      <c r="P57" s="167">
        <v>4.5999999999999999E-2</v>
      </c>
      <c r="Q57" s="167">
        <v>0</v>
      </c>
    </row>
    <row r="58" spans="2:17" s="143" customFormat="1" ht="25.5" x14ac:dyDescent="0.25">
      <c r="B58" s="335"/>
      <c r="C58" s="340"/>
      <c r="D58" s="159" t="s">
        <v>46</v>
      </c>
      <c r="E58" s="164">
        <f>SUM(N58:Q58)</f>
        <v>18.276</v>
      </c>
      <c r="F58" s="247">
        <f t="shared" si="1"/>
        <v>4.3062307832448514E-2</v>
      </c>
      <c r="H58" s="170"/>
      <c r="L58" s="333"/>
      <c r="M58" s="168" t="s">
        <v>50</v>
      </c>
      <c r="N58" s="166">
        <v>0</v>
      </c>
      <c r="O58" s="167">
        <v>0.28499999999999998</v>
      </c>
      <c r="P58" s="167">
        <v>0</v>
      </c>
      <c r="Q58" s="167">
        <v>17.991</v>
      </c>
    </row>
    <row r="59" spans="2:17" s="143" customFormat="1" ht="25.5" x14ac:dyDescent="0.25">
      <c r="B59" s="336"/>
      <c r="C59" s="181"/>
      <c r="D59" s="159" t="s">
        <v>52</v>
      </c>
      <c r="E59" s="164">
        <f t="shared" si="3"/>
        <v>0</v>
      </c>
      <c r="F59" s="247">
        <f t="shared" si="1"/>
        <v>0</v>
      </c>
      <c r="H59" s="170"/>
      <c r="L59" s="172"/>
      <c r="M59" s="168" t="s">
        <v>41</v>
      </c>
      <c r="N59" s="166">
        <v>0</v>
      </c>
      <c r="O59" s="167">
        <v>0</v>
      </c>
      <c r="P59" s="167">
        <v>0</v>
      </c>
      <c r="Q59" s="167">
        <v>0</v>
      </c>
    </row>
    <row r="60" spans="2:17" s="143" customFormat="1" ht="25.5" x14ac:dyDescent="0.25">
      <c r="B60" s="337"/>
      <c r="C60" s="250" t="s">
        <v>38</v>
      </c>
      <c r="D60" s="251"/>
      <c r="E60" s="248">
        <f>SUM(E51:E59)</f>
        <v>11256.054</v>
      </c>
      <c r="F60" s="249">
        <f t="shared" si="1"/>
        <v>26.52175871780824</v>
      </c>
      <c r="H60" s="254"/>
      <c r="L60" s="174" t="s">
        <v>43</v>
      </c>
      <c r="M60" s="175"/>
      <c r="N60" s="176">
        <f>SUM(N51:N59)</f>
        <v>8971</v>
      </c>
      <c r="O60" s="177">
        <f>SUM(O51:O59)</f>
        <v>1924.3610000000001</v>
      </c>
      <c r="P60" s="177">
        <f>SUM(P51:P59)</f>
        <v>44.510000000000005</v>
      </c>
      <c r="Q60" s="177">
        <f>SUM(Q51:Q59)</f>
        <v>316.18299999999999</v>
      </c>
    </row>
    <row r="61" spans="2:17" s="143" customFormat="1" ht="25.5" x14ac:dyDescent="0.25">
      <c r="B61" s="253"/>
      <c r="C61" s="250" t="s">
        <v>53</v>
      </c>
      <c r="D61" s="251"/>
      <c r="E61" s="252">
        <f>E60+E50</f>
        <v>42440.827999999994</v>
      </c>
      <c r="F61" s="249">
        <f>F60+F50</f>
        <v>100</v>
      </c>
      <c r="H61" s="170"/>
      <c r="L61" s="172"/>
      <c r="M61" s="168" t="s">
        <v>54</v>
      </c>
      <c r="N61" s="182"/>
      <c r="O61" s="183"/>
      <c r="P61" s="184"/>
      <c r="Q61" s="184"/>
    </row>
    <row r="62" spans="2:17" s="143" customFormat="1" ht="25.5" x14ac:dyDescent="0.25">
      <c r="L62" s="185" t="s">
        <v>55</v>
      </c>
      <c r="M62" s="186" t="s">
        <v>77</v>
      </c>
      <c r="N62" s="187">
        <f>N50+N60</f>
        <v>32423</v>
      </c>
      <c r="O62" s="188">
        <f>O60+O50</f>
        <v>8439.7570000000014</v>
      </c>
      <c r="P62" s="188">
        <f>P60+P50</f>
        <v>176.47800000000001</v>
      </c>
      <c r="Q62" s="188">
        <f>Q60+Q50</f>
        <v>1401.5930000000001</v>
      </c>
    </row>
    <row r="63" spans="2:17" s="143" customFormat="1" ht="25.5" x14ac:dyDescent="0.25">
      <c r="E63" s="189">
        <f>E101-E61</f>
        <v>1108.1360000000059</v>
      </c>
      <c r="L63" s="190" t="s">
        <v>55</v>
      </c>
      <c r="M63" s="190" t="s">
        <v>78</v>
      </c>
      <c r="N63" s="191">
        <v>32934</v>
      </c>
      <c r="O63" s="191">
        <v>8856.6790000000019</v>
      </c>
      <c r="P63" s="191">
        <v>171.45500000000001</v>
      </c>
      <c r="Q63" s="191">
        <v>1586.8300000000002</v>
      </c>
    </row>
    <row r="64" spans="2:17" s="143" customFormat="1" ht="51" x14ac:dyDescent="0.25">
      <c r="L64" s="190" t="s">
        <v>55</v>
      </c>
      <c r="M64" s="190" t="s">
        <v>79</v>
      </c>
      <c r="N64" s="191">
        <v>32946</v>
      </c>
      <c r="O64" s="191">
        <v>8481</v>
      </c>
      <c r="P64" s="191">
        <v>144.59299999999999</v>
      </c>
      <c r="Q64" s="191">
        <v>1763</v>
      </c>
    </row>
    <row r="65" spans="2:18" s="143" customFormat="1" x14ac:dyDescent="0.25">
      <c r="L65" s="192" t="s">
        <v>80</v>
      </c>
      <c r="M65" s="192"/>
      <c r="N65" s="193">
        <f>AVERAGE(N62:N64)</f>
        <v>32767.666666666668</v>
      </c>
      <c r="O65" s="193">
        <f>AVERAGE(O62:O64)</f>
        <v>8592.4786666666678</v>
      </c>
      <c r="P65" s="193">
        <f>AVERAGE(P62:P64)</f>
        <v>164.17533333333333</v>
      </c>
      <c r="Q65" s="193">
        <f>AVERAGE(Q62:Q64)</f>
        <v>1583.8076666666668</v>
      </c>
      <c r="R65" s="194">
        <f>SUM(N65:Q65)</f>
        <v>43108.128333333334</v>
      </c>
    </row>
    <row r="66" spans="2:18" s="143" customFormat="1" x14ac:dyDescent="0.25">
      <c r="R66" s="194"/>
    </row>
    <row r="67" spans="2:18" s="143" customFormat="1" x14ac:dyDescent="0.25">
      <c r="M67" s="143" t="s">
        <v>81</v>
      </c>
      <c r="N67" s="195">
        <f>N65/$E61</f>
        <v>0.77207887335908409</v>
      </c>
      <c r="O67" s="195">
        <f t="shared" ref="O67:Q67" si="4">O65/$E61</f>
        <v>0.20245784711520401</v>
      </c>
      <c r="P67" s="196">
        <f t="shared" si="4"/>
        <v>3.8683348339323951E-3</v>
      </c>
      <c r="Q67" s="195">
        <f t="shared" si="4"/>
        <v>3.7318019965743056E-2</v>
      </c>
      <c r="R67" s="194"/>
    </row>
    <row r="68" spans="2:18" s="143" customFormat="1" x14ac:dyDescent="0.25">
      <c r="R68" s="194"/>
    </row>
    <row r="69" spans="2:18" s="143" customFormat="1" x14ac:dyDescent="0.25">
      <c r="R69" s="194"/>
    </row>
    <row r="70" spans="2:18" s="143" customFormat="1" x14ac:dyDescent="0.25">
      <c r="R70" s="194"/>
    </row>
    <row r="71" spans="2:18" s="143" customFormat="1" x14ac:dyDescent="0.25">
      <c r="R71" s="194"/>
    </row>
    <row r="72" spans="2:18" s="143" customFormat="1" x14ac:dyDescent="0.25">
      <c r="R72" s="194"/>
    </row>
    <row r="73" spans="2:18" s="143" customFormat="1" x14ac:dyDescent="0.25">
      <c r="R73" s="194"/>
    </row>
    <row r="74" spans="2:18" s="143" customFormat="1" x14ac:dyDescent="0.25">
      <c r="R74" s="194"/>
    </row>
    <row r="75" spans="2:18" s="143" customFormat="1" x14ac:dyDescent="0.25">
      <c r="R75" s="194"/>
    </row>
    <row r="76" spans="2:18" s="143" customFormat="1" x14ac:dyDescent="0.25">
      <c r="R76" s="194"/>
    </row>
    <row r="77" spans="2:18" s="143" customFormat="1" x14ac:dyDescent="0.25">
      <c r="R77" s="194"/>
    </row>
    <row r="78" spans="2:18" s="143" customFormat="1" ht="25.5" x14ac:dyDescent="0.25">
      <c r="L78" s="146"/>
      <c r="M78" s="147"/>
      <c r="N78" s="148" t="s">
        <v>70</v>
      </c>
      <c r="O78" s="149" t="s">
        <v>73</v>
      </c>
      <c r="P78" s="150" t="s">
        <v>71</v>
      </c>
      <c r="Q78" s="149" t="s">
        <v>14</v>
      </c>
    </row>
    <row r="79" spans="2:18" s="143" customFormat="1" ht="89.25" x14ac:dyDescent="0.25">
      <c r="B79" s="151">
        <v>2012</v>
      </c>
      <c r="C79" s="151" t="s">
        <v>10</v>
      </c>
      <c r="D79" s="151" t="s">
        <v>11</v>
      </c>
      <c r="E79" s="322" t="s">
        <v>74</v>
      </c>
      <c r="F79" s="323"/>
      <c r="K79" s="152">
        <v>2012</v>
      </c>
      <c r="L79" s="153" t="s">
        <v>21</v>
      </c>
      <c r="M79" s="154" t="s">
        <v>22</v>
      </c>
      <c r="N79" s="155" t="s">
        <v>12</v>
      </c>
      <c r="O79" s="156" t="s">
        <v>75</v>
      </c>
      <c r="P79" s="157" t="s">
        <v>75</v>
      </c>
      <c r="Q79" s="156" t="s">
        <v>75</v>
      </c>
    </row>
    <row r="80" spans="2:18" s="143" customFormat="1" x14ac:dyDescent="0.25">
      <c r="B80" s="158"/>
      <c r="C80" s="158"/>
      <c r="D80" s="159"/>
      <c r="E80" s="160" t="s">
        <v>15</v>
      </c>
      <c r="F80" s="160" t="s">
        <v>16</v>
      </c>
      <c r="L80" s="161"/>
      <c r="M80" s="161"/>
      <c r="N80" s="162" t="s">
        <v>15</v>
      </c>
      <c r="O80" s="163" t="s">
        <v>25</v>
      </c>
      <c r="P80" s="163" t="s">
        <v>25</v>
      </c>
      <c r="Q80" s="163" t="s">
        <v>25</v>
      </c>
    </row>
    <row r="81" spans="2:17" s="143" customFormat="1" ht="25.5" x14ac:dyDescent="0.25">
      <c r="B81" s="324" t="s">
        <v>18</v>
      </c>
      <c r="C81" s="326" t="s">
        <v>19</v>
      </c>
      <c r="D81" s="159" t="s">
        <v>20</v>
      </c>
      <c r="E81" s="164">
        <f>SUM(N81:Q81)</f>
        <v>5337.3753333333334</v>
      </c>
      <c r="F81" s="247">
        <f>E81/$E$101*100</f>
        <v>12.256032849216192</v>
      </c>
      <c r="L81" s="329" t="s">
        <v>27</v>
      </c>
      <c r="M81" s="165" t="s">
        <v>28</v>
      </c>
      <c r="N81" s="197">
        <v>2066</v>
      </c>
      <c r="O81" s="167">
        <v>3229.4380000000001</v>
      </c>
      <c r="P81" s="167">
        <f>123.472/3</f>
        <v>41.157333333333334</v>
      </c>
      <c r="Q81" s="167">
        <v>0.78</v>
      </c>
    </row>
    <row r="82" spans="2:17" s="143" customFormat="1" ht="25.5" x14ac:dyDescent="0.25">
      <c r="B82" s="325"/>
      <c r="C82" s="327"/>
      <c r="D82" s="159" t="s">
        <v>24</v>
      </c>
      <c r="E82" s="164">
        <f t="shared" ref="E82:E88" si="5">SUM(N82:Q82)</f>
        <v>25296.800333333336</v>
      </c>
      <c r="F82" s="247">
        <f t="shared" ref="F82:F100" si="6">E82/$E$101*100</f>
        <v>58.088179395802243</v>
      </c>
      <c r="L82" s="329"/>
      <c r="M82" s="168" t="s">
        <v>30</v>
      </c>
      <c r="N82" s="197">
        <v>19617</v>
      </c>
      <c r="O82" s="167">
        <v>4321.9930000000004</v>
      </c>
      <c r="P82" s="167">
        <f>123.472/3</f>
        <v>41.157333333333334</v>
      </c>
      <c r="Q82" s="167">
        <v>1316.65</v>
      </c>
    </row>
    <row r="83" spans="2:17" s="143" customFormat="1" ht="25.5" x14ac:dyDescent="0.25">
      <c r="B83" s="325"/>
      <c r="C83" s="327"/>
      <c r="D83" s="159" t="s">
        <v>26</v>
      </c>
      <c r="E83" s="164">
        <f t="shared" si="5"/>
        <v>50.461333333333336</v>
      </c>
      <c r="F83" s="247">
        <f t="shared" si="6"/>
        <v>0.1158726378274655</v>
      </c>
      <c r="L83" s="329"/>
      <c r="M83" s="168" t="s">
        <v>33</v>
      </c>
      <c r="N83" s="197">
        <v>9</v>
      </c>
      <c r="O83" s="167">
        <v>0.30399999999999999</v>
      </c>
      <c r="P83" s="167">
        <f>123.472/3</f>
        <v>41.157333333333334</v>
      </c>
      <c r="Q83" s="167">
        <v>0</v>
      </c>
    </row>
    <row r="84" spans="2:17" s="143" customFormat="1" ht="25.5" x14ac:dyDescent="0.25">
      <c r="B84" s="325"/>
      <c r="C84" s="328"/>
      <c r="D84" s="159" t="s">
        <v>29</v>
      </c>
      <c r="E84" s="164">
        <f t="shared" si="5"/>
        <v>357.024</v>
      </c>
      <c r="F84" s="247">
        <f t="shared" si="6"/>
        <v>0.81982202837247753</v>
      </c>
      <c r="L84" s="329"/>
      <c r="M84" s="168" t="s">
        <v>34</v>
      </c>
      <c r="N84" s="197">
        <v>260</v>
      </c>
      <c r="O84" s="167">
        <v>85.712000000000003</v>
      </c>
      <c r="P84" s="167">
        <v>3.1320000000000001</v>
      </c>
      <c r="Q84" s="167">
        <v>8.18</v>
      </c>
    </row>
    <row r="85" spans="2:17" s="143" customFormat="1" ht="25.5" x14ac:dyDescent="0.25">
      <c r="B85" s="325"/>
      <c r="C85" s="330" t="s">
        <v>31</v>
      </c>
      <c r="D85" s="159" t="s">
        <v>32</v>
      </c>
      <c r="E85" s="164">
        <f t="shared" si="5"/>
        <v>64.673000000000002</v>
      </c>
      <c r="F85" s="247">
        <f t="shared" si="6"/>
        <v>0.14850640304554663</v>
      </c>
      <c r="L85" s="333" t="s">
        <v>35</v>
      </c>
      <c r="M85" s="168" t="s">
        <v>36</v>
      </c>
      <c r="N85" s="197">
        <v>46</v>
      </c>
      <c r="O85" s="167">
        <v>17.809000000000001</v>
      </c>
      <c r="P85" s="167">
        <v>4.0000000000000001E-3</v>
      </c>
      <c r="Q85" s="167">
        <v>0.86</v>
      </c>
    </row>
    <row r="86" spans="2:17" s="143" customFormat="1" ht="25.5" x14ac:dyDescent="0.25">
      <c r="B86" s="325"/>
      <c r="C86" s="331"/>
      <c r="D86" s="159" t="s">
        <v>24</v>
      </c>
      <c r="E86" s="164">
        <f t="shared" si="5"/>
        <v>344.10599999999999</v>
      </c>
      <c r="F86" s="247">
        <f t="shared" si="6"/>
        <v>0.79015886577692185</v>
      </c>
      <c r="L86" s="333"/>
      <c r="M86" s="168" t="s">
        <v>30</v>
      </c>
      <c r="N86" s="197">
        <v>312</v>
      </c>
      <c r="O86" s="167">
        <v>30.443000000000001</v>
      </c>
      <c r="P86" s="167">
        <v>1.0029999999999999</v>
      </c>
      <c r="Q86" s="167">
        <v>0.66</v>
      </c>
    </row>
    <row r="87" spans="2:17" s="143" customFormat="1" ht="25.5" x14ac:dyDescent="0.25">
      <c r="B87" s="325"/>
      <c r="C87" s="331"/>
      <c r="D87" s="159" t="s">
        <v>26</v>
      </c>
      <c r="E87" s="164">
        <f t="shared" si="5"/>
        <v>193.876</v>
      </c>
      <c r="F87" s="247">
        <f t="shared" si="6"/>
        <v>0.44519084311626794</v>
      </c>
      <c r="L87" s="333"/>
      <c r="M87" s="168" t="s">
        <v>33</v>
      </c>
      <c r="N87" s="197">
        <v>143</v>
      </c>
      <c r="O87" s="167">
        <v>50.28</v>
      </c>
      <c r="P87" s="167">
        <v>0.19600000000000001</v>
      </c>
      <c r="Q87" s="167">
        <v>0.4</v>
      </c>
    </row>
    <row r="88" spans="2:17" s="143" customFormat="1" ht="25.5" x14ac:dyDescent="0.25">
      <c r="B88" s="325"/>
      <c r="C88" s="332"/>
      <c r="D88" s="159" t="s">
        <v>29</v>
      </c>
      <c r="E88" s="164">
        <f t="shared" si="5"/>
        <v>356.73</v>
      </c>
      <c r="F88" s="247">
        <f t="shared" si="6"/>
        <v>0.81914692620471985</v>
      </c>
      <c r="L88" s="333"/>
      <c r="M88" s="168" t="s">
        <v>34</v>
      </c>
      <c r="N88" s="197">
        <v>325</v>
      </c>
      <c r="O88" s="167">
        <v>27.751999999999999</v>
      </c>
      <c r="P88" s="167">
        <v>0.86799999999999999</v>
      </c>
      <c r="Q88" s="167">
        <v>3.11</v>
      </c>
    </row>
    <row r="89" spans="2:17" s="143" customFormat="1" ht="25.5" x14ac:dyDescent="0.25">
      <c r="B89" s="325"/>
      <c r="C89" s="171"/>
      <c r="D89" s="159" t="s">
        <v>37</v>
      </c>
      <c r="E89" s="164">
        <f>SUM(N89:Q89)</f>
        <v>0</v>
      </c>
      <c r="F89" s="247">
        <f t="shared" si="6"/>
        <v>0</v>
      </c>
      <c r="L89" s="172"/>
      <c r="M89" s="168" t="s">
        <v>41</v>
      </c>
      <c r="N89" s="197">
        <v>0</v>
      </c>
      <c r="O89" s="167">
        <v>0</v>
      </c>
      <c r="P89" s="167">
        <v>0</v>
      </c>
      <c r="Q89" s="167">
        <v>0</v>
      </c>
    </row>
    <row r="90" spans="2:17" s="143" customFormat="1" ht="25.5" x14ac:dyDescent="0.25">
      <c r="B90" s="173"/>
      <c r="C90" s="250" t="s">
        <v>38</v>
      </c>
      <c r="D90" s="251"/>
      <c r="E90" s="248">
        <f>SUM(E81:E89)</f>
        <v>32001.046000000002</v>
      </c>
      <c r="F90" s="249">
        <f t="shared" si="6"/>
        <v>73.482909949361826</v>
      </c>
      <c r="L90" s="174" t="s">
        <v>43</v>
      </c>
      <c r="M90" s="175"/>
      <c r="N90" s="198">
        <f>SUM(N81:N89)</f>
        <v>22778</v>
      </c>
      <c r="O90" s="177">
        <f>SUM(O81:O89)</f>
        <v>7763.7310000000016</v>
      </c>
      <c r="P90" s="177">
        <f>SUM(P81:P89)</f>
        <v>128.67500000000001</v>
      </c>
      <c r="Q90" s="177">
        <f>SUM(Q81:Q89)</f>
        <v>1330.64</v>
      </c>
    </row>
    <row r="91" spans="2:17" s="143" customFormat="1" ht="25.5" x14ac:dyDescent="0.25">
      <c r="B91" s="334" t="s">
        <v>39</v>
      </c>
      <c r="C91" s="338" t="s">
        <v>40</v>
      </c>
      <c r="D91" s="159" t="s">
        <v>24</v>
      </c>
      <c r="E91" s="164">
        <f>SUM(N91:Q91)</f>
        <v>20.149999999999999</v>
      </c>
      <c r="F91" s="247">
        <f t="shared" si="6"/>
        <v>4.6269757416043236E-2</v>
      </c>
      <c r="L91" s="339" t="s">
        <v>76</v>
      </c>
      <c r="M91" s="168" t="s">
        <v>30</v>
      </c>
      <c r="N91" s="197">
        <v>17</v>
      </c>
      <c r="O91" s="167">
        <v>0</v>
      </c>
      <c r="P91" s="167">
        <v>0</v>
      </c>
      <c r="Q91" s="167">
        <v>3.15</v>
      </c>
    </row>
    <row r="92" spans="2:17" s="143" customFormat="1" ht="25.5" x14ac:dyDescent="0.25">
      <c r="B92" s="335"/>
      <c r="C92" s="338"/>
      <c r="D92" s="159" t="s">
        <v>42</v>
      </c>
      <c r="E92" s="164">
        <f t="shared" ref="E92:E97" si="7">SUM(N92:Q92)</f>
        <v>6892.5479999999998</v>
      </c>
      <c r="F92" s="247">
        <f t="shared" si="6"/>
        <v>15.827122776100941</v>
      </c>
      <c r="L92" s="339"/>
      <c r="M92" s="168" t="s">
        <v>47</v>
      </c>
      <c r="N92" s="197">
        <v>6367</v>
      </c>
      <c r="O92" s="167">
        <v>403.30200000000002</v>
      </c>
      <c r="P92" s="167">
        <v>34.826000000000001</v>
      </c>
      <c r="Q92" s="167">
        <v>87.42</v>
      </c>
    </row>
    <row r="93" spans="2:17" s="143" customFormat="1" ht="25.5" x14ac:dyDescent="0.25">
      <c r="B93" s="335"/>
      <c r="C93" s="338"/>
      <c r="D93" s="159" t="s">
        <v>44</v>
      </c>
      <c r="E93" s="164">
        <f t="shared" si="7"/>
        <v>2575.9250000000002</v>
      </c>
      <c r="F93" s="247">
        <f t="shared" si="6"/>
        <v>5.9150086785072542</v>
      </c>
      <c r="L93" s="339"/>
      <c r="M93" s="179" t="s">
        <v>49</v>
      </c>
      <c r="N93" s="197">
        <v>2094</v>
      </c>
      <c r="O93" s="167">
        <v>333.40600000000001</v>
      </c>
      <c r="P93" s="167">
        <v>4.5590000000000002</v>
      </c>
      <c r="Q93" s="167">
        <v>143.96</v>
      </c>
    </row>
    <row r="94" spans="2:17" s="143" customFormat="1" ht="25.5" x14ac:dyDescent="0.25">
      <c r="B94" s="335"/>
      <c r="C94" s="338"/>
      <c r="D94" s="159" t="s">
        <v>46</v>
      </c>
      <c r="E94" s="164">
        <f t="shared" si="7"/>
        <v>1007.6610000000001</v>
      </c>
      <c r="F94" s="247">
        <f t="shared" si="6"/>
        <v>2.3138575696083152</v>
      </c>
      <c r="L94" s="339"/>
      <c r="M94" s="168" t="s">
        <v>50</v>
      </c>
      <c r="N94" s="197">
        <v>812</v>
      </c>
      <c r="O94" s="167">
        <v>176.99799999999999</v>
      </c>
      <c r="P94" s="167">
        <v>1.6930000000000001</v>
      </c>
      <c r="Q94" s="167">
        <v>16.97</v>
      </c>
    </row>
    <row r="95" spans="2:17" s="143" customFormat="1" ht="25.5" x14ac:dyDescent="0.25">
      <c r="B95" s="335"/>
      <c r="C95" s="338"/>
      <c r="D95" s="159" t="s">
        <v>48</v>
      </c>
      <c r="E95" s="164">
        <f t="shared" si="7"/>
        <v>991.7120000000001</v>
      </c>
      <c r="F95" s="247">
        <f t="shared" si="6"/>
        <v>2.2772344251404011</v>
      </c>
      <c r="L95" s="339"/>
      <c r="M95" s="180" t="s">
        <v>51</v>
      </c>
      <c r="N95" s="197">
        <v>808</v>
      </c>
      <c r="O95" s="167">
        <v>178.55600000000001</v>
      </c>
      <c r="P95" s="167">
        <v>0.46600000000000003</v>
      </c>
      <c r="Q95" s="167">
        <v>4.6900000000000004</v>
      </c>
    </row>
    <row r="96" spans="2:17" s="143" customFormat="1" ht="25.5" x14ac:dyDescent="0.25">
      <c r="B96" s="335"/>
      <c r="C96" s="340" t="s">
        <v>31</v>
      </c>
      <c r="D96" s="159" t="s">
        <v>42</v>
      </c>
      <c r="E96" s="164">
        <f t="shared" si="7"/>
        <v>18.613999999999997</v>
      </c>
      <c r="F96" s="247">
        <f t="shared" si="6"/>
        <v>4.2742693029391002E-2</v>
      </c>
      <c r="L96" s="333" t="s">
        <v>35</v>
      </c>
      <c r="M96" s="168" t="s">
        <v>47</v>
      </c>
      <c r="N96" s="197">
        <v>17</v>
      </c>
      <c r="O96" s="167">
        <v>0.39700000000000002</v>
      </c>
      <c r="P96" s="167">
        <v>1.2170000000000001</v>
      </c>
      <c r="Q96" s="167">
        <v>0</v>
      </c>
    </row>
    <row r="97" spans="2:18" s="143" customFormat="1" ht="25.5" x14ac:dyDescent="0.25">
      <c r="B97" s="335"/>
      <c r="C97" s="340"/>
      <c r="D97" s="159" t="s">
        <v>44</v>
      </c>
      <c r="E97" s="164">
        <f t="shared" si="7"/>
        <v>40.164000000000001</v>
      </c>
      <c r="F97" s="247">
        <f t="shared" si="6"/>
        <v>9.2227222672851647E-2</v>
      </c>
      <c r="L97" s="333"/>
      <c r="M97" s="168" t="s">
        <v>49</v>
      </c>
      <c r="N97" s="197">
        <v>40</v>
      </c>
      <c r="O97" s="167">
        <v>0.14499999999999999</v>
      </c>
      <c r="P97" s="167">
        <v>1.9E-2</v>
      </c>
      <c r="Q97" s="167">
        <v>0</v>
      </c>
    </row>
    <row r="98" spans="2:18" s="143" customFormat="1" ht="25.5" x14ac:dyDescent="0.25">
      <c r="B98" s="335"/>
      <c r="C98" s="340"/>
      <c r="D98" s="159" t="s">
        <v>46</v>
      </c>
      <c r="E98" s="164">
        <f>SUM(N98:Q98)</f>
        <v>1.1439999999999999</v>
      </c>
      <c r="F98" s="247">
        <f t="shared" si="6"/>
        <v>2.6269281629753578E-3</v>
      </c>
      <c r="L98" s="333"/>
      <c r="M98" s="168" t="s">
        <v>50</v>
      </c>
      <c r="N98" s="197">
        <v>1</v>
      </c>
      <c r="O98" s="167">
        <v>0.14399999999999999</v>
      </c>
      <c r="P98" s="167">
        <v>0</v>
      </c>
      <c r="Q98" s="167">
        <v>0</v>
      </c>
    </row>
    <row r="99" spans="2:18" s="143" customFormat="1" ht="25.5" x14ac:dyDescent="0.25">
      <c r="B99" s="336"/>
      <c r="C99" s="181"/>
      <c r="D99" s="159" t="s">
        <v>52</v>
      </c>
      <c r="E99" s="164">
        <f t="shared" ref="E99" si="8">SUM(N99:Q99)</f>
        <v>0</v>
      </c>
      <c r="F99" s="247">
        <f t="shared" si="6"/>
        <v>0</v>
      </c>
      <c r="L99" s="172"/>
      <c r="M99" s="168" t="s">
        <v>41</v>
      </c>
      <c r="N99" s="197">
        <v>0</v>
      </c>
      <c r="O99" s="167">
        <v>0</v>
      </c>
      <c r="P99" s="167">
        <v>0</v>
      </c>
      <c r="Q99" s="167">
        <v>0</v>
      </c>
    </row>
    <row r="100" spans="2:18" s="143" customFormat="1" ht="25.5" x14ac:dyDescent="0.25">
      <c r="B100" s="337"/>
      <c r="C100" s="250" t="s">
        <v>38</v>
      </c>
      <c r="D100" s="251"/>
      <c r="E100" s="248">
        <f>SUM(E91:E99)</f>
        <v>11547.918</v>
      </c>
      <c r="F100" s="249">
        <f t="shared" si="6"/>
        <v>26.517090050638171</v>
      </c>
      <c r="L100" s="174" t="s">
        <v>43</v>
      </c>
      <c r="M100" s="175"/>
      <c r="N100" s="198">
        <f>SUM(N91:N99)</f>
        <v>10156</v>
      </c>
      <c r="O100" s="177">
        <f>SUM(O91:O99)</f>
        <v>1092.9480000000001</v>
      </c>
      <c r="P100" s="177">
        <f>SUM(P91:P99)</f>
        <v>42.779999999999994</v>
      </c>
      <c r="Q100" s="177">
        <f>SUM(Q91:Q99)</f>
        <v>256.19000000000005</v>
      </c>
    </row>
    <row r="101" spans="2:18" s="143" customFormat="1" ht="25.5" x14ac:dyDescent="0.25">
      <c r="B101" s="253"/>
      <c r="C101" s="250" t="s">
        <v>53</v>
      </c>
      <c r="D101" s="251"/>
      <c r="E101" s="252">
        <f>E100+E90</f>
        <v>43548.964</v>
      </c>
      <c r="F101" s="249">
        <f>F90+F100</f>
        <v>100</v>
      </c>
      <c r="L101" s="172"/>
      <c r="M101" s="168" t="s">
        <v>54</v>
      </c>
      <c r="N101" s="199"/>
      <c r="O101" s="183"/>
      <c r="P101" s="183"/>
      <c r="Q101" s="183"/>
    </row>
    <row r="102" spans="2:18" s="143" customFormat="1" ht="25.5" x14ac:dyDescent="0.25">
      <c r="L102" s="185" t="s">
        <v>55</v>
      </c>
      <c r="M102" s="186" t="s">
        <v>82</v>
      </c>
      <c r="N102" s="187">
        <f>N90+N100</f>
        <v>32934</v>
      </c>
      <c r="O102" s="188">
        <f>O100+O90</f>
        <v>8856.6790000000019</v>
      </c>
      <c r="P102" s="188">
        <f>P100+P90</f>
        <v>171.45500000000001</v>
      </c>
      <c r="Q102" s="188">
        <f>Q100+Q90</f>
        <v>1586.8300000000002</v>
      </c>
    </row>
    <row r="103" spans="2:18" s="143" customFormat="1" ht="25.5" x14ac:dyDescent="0.25">
      <c r="E103" s="189">
        <f>E93+E97</f>
        <v>2616.0890000000004</v>
      </c>
      <c r="L103" s="190" t="s">
        <v>55</v>
      </c>
      <c r="M103" s="190" t="s">
        <v>83</v>
      </c>
      <c r="N103" s="200">
        <v>32946</v>
      </c>
      <c r="O103" s="191">
        <v>8481</v>
      </c>
      <c r="P103" s="191">
        <v>144.59299999999999</v>
      </c>
      <c r="Q103" s="191">
        <v>1763</v>
      </c>
    </row>
    <row r="104" spans="2:18" s="143" customFormat="1" ht="51" x14ac:dyDescent="0.25">
      <c r="L104" s="190" t="s">
        <v>55</v>
      </c>
      <c r="M104" s="190" t="s">
        <v>84</v>
      </c>
      <c r="N104" s="200">
        <v>33982</v>
      </c>
      <c r="O104" s="191">
        <v>6340</v>
      </c>
      <c r="P104" s="191">
        <v>172.47200000000001</v>
      </c>
      <c r="Q104" s="191">
        <v>2036</v>
      </c>
    </row>
    <row r="105" spans="2:18" s="143" customFormat="1" x14ac:dyDescent="0.25">
      <c r="L105" s="192" t="s">
        <v>80</v>
      </c>
      <c r="M105" s="192" t="s">
        <v>85</v>
      </c>
      <c r="N105" s="192">
        <f>AVERAGE(N102:N104)</f>
        <v>33287.333333333336</v>
      </c>
      <c r="O105" s="201">
        <f>AVERAGE(O102:O104)</f>
        <v>7892.5596666666679</v>
      </c>
      <c r="P105" s="201">
        <f>AVERAGE(P102:P104)</f>
        <v>162.84</v>
      </c>
      <c r="Q105" s="202">
        <f>AVERAGE(Q102:Q104)</f>
        <v>1795.2766666666666</v>
      </c>
      <c r="R105" s="194">
        <f>SUM(N105:Q105)</f>
        <v>43138.009666666665</v>
      </c>
    </row>
    <row r="106" spans="2:18" s="143" customFormat="1" x14ac:dyDescent="0.25">
      <c r="L106" s="203"/>
      <c r="M106" s="203"/>
      <c r="N106" s="204"/>
      <c r="O106" s="205"/>
      <c r="P106" s="206"/>
      <c r="Q106" s="206"/>
    </row>
    <row r="108" spans="2:18" x14ac:dyDescent="0.25">
      <c r="M108" s="208"/>
    </row>
    <row r="109" spans="2:18" x14ac:dyDescent="0.25">
      <c r="B109" s="48">
        <v>2011</v>
      </c>
      <c r="C109" s="48" t="s">
        <v>10</v>
      </c>
      <c r="D109" s="48" t="s">
        <v>11</v>
      </c>
      <c r="E109" s="341" t="s">
        <v>12</v>
      </c>
      <c r="F109" s="342"/>
      <c r="M109" s="49" t="s">
        <v>13</v>
      </c>
      <c r="N109" s="50" t="s">
        <v>14</v>
      </c>
    </row>
    <row r="110" spans="2:18" x14ac:dyDescent="0.25">
      <c r="B110" s="209"/>
      <c r="C110" s="209"/>
      <c r="D110" s="210"/>
      <c r="E110" s="211" t="s">
        <v>15</v>
      </c>
      <c r="F110" s="211" t="s">
        <v>16</v>
      </c>
      <c r="J110" s="54"/>
      <c r="K110" s="54"/>
      <c r="L110" s="54"/>
      <c r="M110" s="55" t="s">
        <v>17</v>
      </c>
      <c r="N110" s="212" t="s">
        <v>17</v>
      </c>
    </row>
    <row r="111" spans="2:18" ht="51" x14ac:dyDescent="0.25">
      <c r="B111" s="343" t="s">
        <v>18</v>
      </c>
      <c r="C111" s="345" t="s">
        <v>19</v>
      </c>
      <c r="D111" s="210" t="s">
        <v>20</v>
      </c>
      <c r="E111" s="57">
        <f>2245+3703.909866+(96.208/3)+N113</f>
        <v>5982.2481993333331</v>
      </c>
      <c r="F111" s="213">
        <f>E111*100/E131</f>
        <v>13.804867210595688</v>
      </c>
      <c r="J111" s="54"/>
      <c r="K111" s="59" t="s">
        <v>21</v>
      </c>
      <c r="L111" s="59" t="s">
        <v>22</v>
      </c>
      <c r="M111" s="60" t="s">
        <v>12</v>
      </c>
      <c r="N111" s="61" t="s">
        <v>23</v>
      </c>
    </row>
    <row r="112" spans="2:18" x14ac:dyDescent="0.25">
      <c r="B112" s="344"/>
      <c r="C112" s="346"/>
      <c r="D112" s="210" t="s">
        <v>24</v>
      </c>
      <c r="E112" s="57">
        <f>19268+3350.779+(96.208/3)+N114</f>
        <v>24162.112333333331</v>
      </c>
      <c r="F112" s="213">
        <f>E112*100/E131</f>
        <v>55.757424495749703</v>
      </c>
      <c r="J112" s="54"/>
      <c r="K112" s="62"/>
      <c r="L112" s="62"/>
      <c r="M112" s="211" t="s">
        <v>15</v>
      </c>
      <c r="N112" s="63" t="s">
        <v>25</v>
      </c>
    </row>
    <row r="113" spans="2:14" ht="25.5" x14ac:dyDescent="0.25">
      <c r="B113" s="344"/>
      <c r="C113" s="346"/>
      <c r="D113" s="210" t="s">
        <v>26</v>
      </c>
      <c r="E113" s="57">
        <f>6+1.91+(96.208/3)+N115</f>
        <v>39.979333333333329</v>
      </c>
      <c r="F113" s="213">
        <f>E113*100/E131</f>
        <v>9.2257855148222323E-2</v>
      </c>
      <c r="I113" s="214"/>
      <c r="J113" s="54"/>
      <c r="K113" s="348" t="s">
        <v>27</v>
      </c>
      <c r="L113" s="61" t="s">
        <v>28</v>
      </c>
      <c r="M113" s="215">
        <v>3703.909866</v>
      </c>
      <c r="N113" s="66">
        <v>1.2689999999999999</v>
      </c>
    </row>
    <row r="114" spans="2:14" ht="25.5" x14ac:dyDescent="0.25">
      <c r="B114" s="344"/>
      <c r="C114" s="347"/>
      <c r="D114" s="210" t="s">
        <v>29</v>
      </c>
      <c r="E114" s="57">
        <f>236+70.13+1.044+N116</f>
        <v>315.77</v>
      </c>
      <c r="F114" s="213">
        <f>E114*100/E131</f>
        <v>0.72868305925113386</v>
      </c>
      <c r="J114" s="54"/>
      <c r="K114" s="349"/>
      <c r="L114" s="67" t="s">
        <v>30</v>
      </c>
      <c r="M114" s="215">
        <v>3350.7791850000003</v>
      </c>
      <c r="N114" s="68">
        <v>1511.2639999999999</v>
      </c>
    </row>
    <row r="115" spans="2:14" ht="25.5" x14ac:dyDescent="0.25">
      <c r="B115" s="344"/>
      <c r="C115" s="351" t="s">
        <v>31</v>
      </c>
      <c r="D115" s="210" t="s">
        <v>32</v>
      </c>
      <c r="E115" s="57">
        <f>30+17.583+0.002</f>
        <v>47.585000000000001</v>
      </c>
      <c r="F115" s="213">
        <f>E115*100/E131</f>
        <v>0.10980898557325017</v>
      </c>
      <c r="J115" s="54"/>
      <c r="K115" s="349"/>
      <c r="L115" s="67" t="s">
        <v>33</v>
      </c>
      <c r="M115" s="215">
        <v>1.91</v>
      </c>
      <c r="N115" s="69">
        <v>0</v>
      </c>
    </row>
    <row r="116" spans="2:14" ht="25.5" x14ac:dyDescent="0.25">
      <c r="B116" s="344"/>
      <c r="C116" s="352"/>
      <c r="D116" s="210" t="s">
        <v>24</v>
      </c>
      <c r="E116" s="57">
        <f>173+12.634+0.775+N118</f>
        <v>187.03200000000001</v>
      </c>
      <c r="F116" s="213">
        <f>E116*100/E131</f>
        <v>0.43160227361008985</v>
      </c>
      <c r="K116" s="350"/>
      <c r="L116" s="67" t="s">
        <v>34</v>
      </c>
      <c r="M116" s="215">
        <v>70.129911000000007</v>
      </c>
      <c r="N116" s="68">
        <v>8.5960000000000001</v>
      </c>
    </row>
    <row r="117" spans="2:14" ht="25.5" x14ac:dyDescent="0.25">
      <c r="B117" s="344"/>
      <c r="C117" s="352"/>
      <c r="D117" s="210" t="s">
        <v>26</v>
      </c>
      <c r="E117" s="57">
        <f>126+61.006+N119</f>
        <v>187.33600000000001</v>
      </c>
      <c r="F117" s="213">
        <f>E117*100/E131</f>
        <v>0.43230379576232836</v>
      </c>
      <c r="K117" s="354" t="s">
        <v>35</v>
      </c>
      <c r="L117" s="67" t="s">
        <v>36</v>
      </c>
      <c r="M117" s="215">
        <v>17.58342</v>
      </c>
      <c r="N117" s="70">
        <v>0.21440000000000001</v>
      </c>
    </row>
    <row r="118" spans="2:14" ht="25.5" x14ac:dyDescent="0.25">
      <c r="B118" s="344"/>
      <c r="C118" s="353"/>
      <c r="D118" s="210" t="s">
        <v>29</v>
      </c>
      <c r="E118" s="57">
        <f>243+21.017+0.083+N120</f>
        <v>267.22890000000001</v>
      </c>
      <c r="F118" s="213">
        <f>E118*100/E131</f>
        <v>0.61666774035632055</v>
      </c>
      <c r="K118" s="355"/>
      <c r="L118" s="67" t="s">
        <v>30</v>
      </c>
      <c r="M118" s="215">
        <v>12.634422000000001</v>
      </c>
      <c r="N118" s="68">
        <v>0.623</v>
      </c>
    </row>
    <row r="119" spans="2:14" ht="25.5" x14ac:dyDescent="0.25">
      <c r="B119" s="344"/>
      <c r="C119" s="71"/>
      <c r="D119" s="210" t="s">
        <v>37</v>
      </c>
      <c r="E119" s="57">
        <f>0+22.309+0+N121</f>
        <v>22.309000000000001</v>
      </c>
      <c r="F119" s="213">
        <f>E119*100/E131</f>
        <v>5.1481110836474477E-2</v>
      </c>
      <c r="K119" s="355"/>
      <c r="L119" s="67" t="s">
        <v>33</v>
      </c>
      <c r="M119" s="215">
        <v>61.006176000000004</v>
      </c>
      <c r="N119" s="72">
        <v>0.33</v>
      </c>
    </row>
    <row r="120" spans="2:14" ht="25.5" x14ac:dyDescent="0.25">
      <c r="B120" s="73"/>
      <c r="C120" s="74" t="s">
        <v>38</v>
      </c>
      <c r="D120" s="216"/>
      <c r="E120" s="76">
        <f>SUM(E111:E119)</f>
        <v>31211.600765999996</v>
      </c>
      <c r="F120" s="217">
        <f>SUM(F111:F119)</f>
        <v>72.025096526883218</v>
      </c>
      <c r="K120" s="356"/>
      <c r="L120" s="67" t="s">
        <v>34</v>
      </c>
      <c r="M120" s="215">
        <v>21.017002000000002</v>
      </c>
      <c r="N120" s="78">
        <v>3.1288999999999998</v>
      </c>
    </row>
    <row r="121" spans="2:14" ht="25.5" x14ac:dyDescent="0.25">
      <c r="B121" s="357" t="s">
        <v>39</v>
      </c>
      <c r="C121" s="345" t="s">
        <v>40</v>
      </c>
      <c r="D121" s="210" t="s">
        <v>24</v>
      </c>
      <c r="E121" s="57">
        <f>22+0+0+N123</f>
        <v>25.649000000000001</v>
      </c>
      <c r="F121" s="218">
        <f>E121*100/E131</f>
        <v>5.9188623956463036E-2</v>
      </c>
      <c r="K121" s="80"/>
      <c r="L121" s="67" t="s">
        <v>41</v>
      </c>
      <c r="M121" s="215">
        <v>22.309462</v>
      </c>
      <c r="N121" s="69">
        <v>0</v>
      </c>
    </row>
    <row r="122" spans="2:14" ht="25.5" x14ac:dyDescent="0.25">
      <c r="B122" s="358"/>
      <c r="C122" s="346"/>
      <c r="D122" s="210" t="s">
        <v>42</v>
      </c>
      <c r="E122" s="57">
        <f>6075+431.912+41.81+N124</f>
        <v>6617.4720000000007</v>
      </c>
      <c r="F122" s="218">
        <f>E122*100/E131</f>
        <v>15.270734209927225</v>
      </c>
      <c r="K122" s="81" t="s">
        <v>43</v>
      </c>
      <c r="L122" s="82"/>
      <c r="M122" s="219">
        <f>SUM(M113:M121)</f>
        <v>7261.2794439999998</v>
      </c>
      <c r="N122" s="84">
        <v>1525.4253000000001</v>
      </c>
    </row>
    <row r="123" spans="2:14" ht="25.5" x14ac:dyDescent="0.25">
      <c r="B123" s="358"/>
      <c r="C123" s="346"/>
      <c r="D123" s="210" t="s">
        <v>44</v>
      </c>
      <c r="E123" s="57">
        <f>2634+353.032+2.886+N125</f>
        <v>3128.5080000000003</v>
      </c>
      <c r="F123" s="218">
        <f>E123*100/E131</f>
        <v>7.2194660047871766</v>
      </c>
      <c r="K123" s="360" t="s">
        <v>45</v>
      </c>
      <c r="L123" s="67" t="s">
        <v>30</v>
      </c>
      <c r="M123" s="220"/>
      <c r="N123" s="68">
        <v>3.649</v>
      </c>
    </row>
    <row r="124" spans="2:14" ht="25.5" x14ac:dyDescent="0.25">
      <c r="B124" s="358"/>
      <c r="C124" s="346"/>
      <c r="D124" s="210" t="s">
        <v>46</v>
      </c>
      <c r="E124" s="57">
        <f>1019+288.681+0.324+N126</f>
        <v>1334.633</v>
      </c>
      <c r="F124" s="218">
        <f>E124*100/E131</f>
        <v>3.0798507059490094</v>
      </c>
      <c r="K124" s="361"/>
      <c r="L124" s="67" t="s">
        <v>47</v>
      </c>
      <c r="M124" s="215">
        <v>431.91238699999997</v>
      </c>
      <c r="N124" s="72">
        <v>68.75</v>
      </c>
    </row>
    <row r="125" spans="2:14" ht="25.5" x14ac:dyDescent="0.25">
      <c r="B125" s="358"/>
      <c r="C125" s="347"/>
      <c r="D125" s="210" t="s">
        <v>48</v>
      </c>
      <c r="E125" s="57">
        <f>845+145.069+0.088+N127</f>
        <v>990.47599999999989</v>
      </c>
      <c r="F125" s="218">
        <f>E125*100/E131</f>
        <v>2.2856607080939484</v>
      </c>
      <c r="K125" s="361"/>
      <c r="L125" s="86" t="s">
        <v>49</v>
      </c>
      <c r="M125" s="215">
        <f>353.032241</f>
        <v>353.032241</v>
      </c>
      <c r="N125" s="72">
        <v>138.59</v>
      </c>
    </row>
    <row r="126" spans="2:14" ht="25.5" x14ac:dyDescent="0.25">
      <c r="B126" s="358"/>
      <c r="C126" s="351" t="s">
        <v>31</v>
      </c>
      <c r="D126" s="210" t="s">
        <v>42</v>
      </c>
      <c r="E126" s="57">
        <f>14+0.282+1.351+N128</f>
        <v>15.632999999999999</v>
      </c>
      <c r="F126" s="218">
        <f>E126*100/E131</f>
        <v>3.6075315151132076E-2</v>
      </c>
      <c r="K126" s="361"/>
      <c r="L126" s="67" t="s">
        <v>50</v>
      </c>
      <c r="M126" s="215">
        <f>288.681026</f>
        <v>288.68102599999997</v>
      </c>
      <c r="N126" s="68">
        <v>26.628</v>
      </c>
    </row>
    <row r="127" spans="2:14" ht="25.5" x14ac:dyDescent="0.25">
      <c r="B127" s="358"/>
      <c r="C127" s="352"/>
      <c r="D127" s="210" t="s">
        <v>44</v>
      </c>
      <c r="E127" s="57">
        <f>9+0.12+0.015+N129</f>
        <v>9.1349999999999998</v>
      </c>
      <c r="F127" s="218">
        <f>E127*100/E131</f>
        <v>2.1080279147034576E-2</v>
      </c>
      <c r="K127" s="362"/>
      <c r="L127" s="87" t="s">
        <v>51</v>
      </c>
      <c r="M127" s="215">
        <v>145.06863100000001</v>
      </c>
      <c r="N127" s="68">
        <v>0.31900000000000001</v>
      </c>
    </row>
    <row r="128" spans="2:14" ht="25.5" x14ac:dyDescent="0.25">
      <c r="B128" s="358"/>
      <c r="C128" s="353"/>
      <c r="D128" s="210" t="s">
        <v>46</v>
      </c>
      <c r="E128" s="57">
        <f>1+0.228+0.006+N130</f>
        <v>1.234</v>
      </c>
      <c r="F128" s="218">
        <f>E128*100/E131</f>
        <v>2.8476261048101443E-3</v>
      </c>
      <c r="K128" s="354" t="s">
        <v>35</v>
      </c>
      <c r="L128" s="67" t="s">
        <v>47</v>
      </c>
      <c r="M128" s="215">
        <v>0.28247</v>
      </c>
      <c r="N128" s="69">
        <v>0</v>
      </c>
    </row>
    <row r="129" spans="2:14" ht="25.5" x14ac:dyDescent="0.25">
      <c r="B129" s="358"/>
      <c r="C129" s="88"/>
      <c r="D129" s="210" t="s">
        <v>52</v>
      </c>
      <c r="E129" s="57"/>
      <c r="F129" s="218">
        <f>E129*100/E131</f>
        <v>0</v>
      </c>
      <c r="K129" s="355"/>
      <c r="L129" s="67" t="s">
        <v>49</v>
      </c>
      <c r="M129" s="215">
        <v>0.119601</v>
      </c>
      <c r="N129" s="69">
        <v>0</v>
      </c>
    </row>
    <row r="130" spans="2:14" ht="25.5" x14ac:dyDescent="0.25">
      <c r="B130" s="359"/>
      <c r="C130" s="74" t="s">
        <v>38</v>
      </c>
      <c r="D130" s="216"/>
      <c r="E130" s="76">
        <f>SUM(E121:E129)</f>
        <v>12122.740000000002</v>
      </c>
      <c r="F130" s="217">
        <f>SUM(F121:F129)</f>
        <v>27.9749034731168</v>
      </c>
      <c r="K130" s="356"/>
      <c r="L130" s="67" t="s">
        <v>50</v>
      </c>
      <c r="M130" s="215">
        <v>0.22828300000000001</v>
      </c>
      <c r="N130" s="69">
        <v>0</v>
      </c>
    </row>
    <row r="131" spans="2:14" ht="25.5" x14ac:dyDescent="0.25">
      <c r="B131" s="89"/>
      <c r="C131" s="74" t="s">
        <v>53</v>
      </c>
      <c r="D131" s="216"/>
      <c r="E131" s="90">
        <f>E120+E130</f>
        <v>43334.340765999994</v>
      </c>
      <c r="F131" s="221">
        <f>F120+F130</f>
        <v>100.00000000000001</v>
      </c>
      <c r="K131" s="80"/>
      <c r="L131" s="67" t="s">
        <v>41</v>
      </c>
      <c r="M131" s="220"/>
      <c r="N131" s="69">
        <v>0</v>
      </c>
    </row>
    <row r="132" spans="2:14" ht="25.5" x14ac:dyDescent="0.25">
      <c r="K132" s="81" t="s">
        <v>43</v>
      </c>
      <c r="L132" s="82"/>
      <c r="M132" s="222">
        <f>SUM(M123:M131)</f>
        <v>1219.3246390000002</v>
      </c>
      <c r="N132" s="93">
        <v>238</v>
      </c>
    </row>
    <row r="133" spans="2:14" ht="25.5" x14ac:dyDescent="0.25">
      <c r="C133" s="94"/>
      <c r="D133" s="223"/>
      <c r="E133" s="224"/>
      <c r="K133" s="80"/>
      <c r="L133" s="67" t="s">
        <v>54</v>
      </c>
      <c r="M133" s="225"/>
      <c r="N133" s="98"/>
    </row>
    <row r="134" spans="2:14" ht="25.5" x14ac:dyDescent="0.25">
      <c r="B134" s="48">
        <f>[1]i.Verkehr!B2</f>
        <v>2010</v>
      </c>
      <c r="C134" s="48" t="str">
        <f>[1]i.Verkehr!C2</f>
        <v>Typengruppe</v>
      </c>
      <c r="D134" s="48" t="str">
        <f>[1]i.Verkehr!D2</f>
        <v>System</v>
      </c>
      <c r="E134" s="341" t="str">
        <f>[1]i.Verkehr!E2</f>
        <v xml:space="preserve"> § 15 (1) Nr. 1  BattG
Masse der in Verkehr gebrachten Batterien</v>
      </c>
      <c r="F134" s="342"/>
      <c r="K134" s="99" t="s">
        <v>55</v>
      </c>
      <c r="L134" s="99" t="s">
        <v>56</v>
      </c>
      <c r="M134" s="100">
        <f>M122+M132</f>
        <v>8480.6040830000002</v>
      </c>
      <c r="N134" s="93">
        <v>1763</v>
      </c>
    </row>
    <row r="135" spans="2:14" ht="38.25" x14ac:dyDescent="0.25">
      <c r="B135" s="101"/>
      <c r="C135" s="101"/>
      <c r="D135" s="102"/>
      <c r="E135" s="103" t="str">
        <f>[1]i.Verkehr!E3</f>
        <v>[t]</v>
      </c>
      <c r="F135" s="103" t="str">
        <f>[1]i.Verkehr!F3</f>
        <v>[%]</v>
      </c>
      <c r="K135" s="67" t="s">
        <v>55</v>
      </c>
      <c r="L135" s="67" t="s">
        <v>57</v>
      </c>
      <c r="M135" s="220">
        <v>6340</v>
      </c>
      <c r="N135" s="69">
        <v>2036</v>
      </c>
    </row>
    <row r="136" spans="2:14" ht="51" x14ac:dyDescent="0.25">
      <c r="B136" s="363" t="str">
        <f>[1]i.Verkehr!B4</f>
        <v>Primärbatterien</v>
      </c>
      <c r="C136" s="365" t="str">
        <f>[1]i.Verkehr!C4</f>
        <v>Rundzellen / Blockbatterien</v>
      </c>
      <c r="D136" s="102" t="str">
        <f>[1]i.Verkehr!D4</f>
        <v>ZnC</v>
      </c>
      <c r="E136" s="104">
        <f>[1]i.Verkehr!E4</f>
        <v>5341.6236666666673</v>
      </c>
      <c r="F136" s="105">
        <f>[1]i.Verkehr!F4</f>
        <v>12.559403744212309</v>
      </c>
      <c r="K136" s="67" t="s">
        <v>55</v>
      </c>
      <c r="L136" s="67" t="s">
        <v>58</v>
      </c>
      <c r="M136" s="220">
        <v>5218</v>
      </c>
      <c r="N136" s="69"/>
    </row>
    <row r="137" spans="2:14" x14ac:dyDescent="0.25">
      <c r="B137" s="364"/>
      <c r="C137" s="366"/>
      <c r="D137" s="102" t="str">
        <f>[1]i.Verkehr!D5</f>
        <v>AlMn</v>
      </c>
      <c r="E137" s="104">
        <f>[1]i.Verkehr!E5</f>
        <v>25902.377666666667</v>
      </c>
      <c r="F137" s="105">
        <f>[1]i.Verkehr!F5</f>
        <v>60.902534388713889</v>
      </c>
      <c r="M137" s="106" t="e">
        <f>IF(#REF!=2010,AVERAGE(M134:M135),AVERAGE(M134:M136))</f>
        <v>#REF!</v>
      </c>
      <c r="N137" s="107">
        <v>1900</v>
      </c>
    </row>
    <row r="138" spans="2:14" x14ac:dyDescent="0.25">
      <c r="B138" s="364"/>
      <c r="C138" s="366"/>
      <c r="D138" s="102" t="str">
        <f>[1]i.Verkehr!D6</f>
        <v>Zn-Luft</v>
      </c>
      <c r="E138" s="104">
        <f>[1]i.Verkehr!E6</f>
        <v>71.167666666666662</v>
      </c>
      <c r="F138" s="105">
        <f>[1]i.Verkehr!F6</f>
        <v>0.16733179178793767</v>
      </c>
    </row>
    <row r="139" spans="2:14" x14ac:dyDescent="0.25">
      <c r="B139" s="364"/>
      <c r="C139" s="367"/>
      <c r="D139" s="102" t="str">
        <f>[1]i.Verkehr!D7</f>
        <v>Li</v>
      </c>
      <c r="E139" s="104">
        <f>[1]i.Verkehr!E7</f>
        <v>295.79999999999995</v>
      </c>
      <c r="F139" s="105">
        <f>[1]i.Verkehr!F7</f>
        <v>0.69549482692334941</v>
      </c>
    </row>
    <row r="140" spans="2:14" x14ac:dyDescent="0.25">
      <c r="B140" s="364"/>
      <c r="C140" s="368" t="str">
        <f>[1]i.Verkehr!C8</f>
        <v>Knopfzellen</v>
      </c>
      <c r="D140" s="102" t="str">
        <f>[1]i.Verkehr!D8</f>
        <v>AgO</v>
      </c>
      <c r="E140" s="104">
        <f>[1]i.Verkehr!E8</f>
        <v>30.125</v>
      </c>
      <c r="F140" s="105">
        <f>[1]i.Verkehr!F8</f>
        <v>7.0830904871757625E-2</v>
      </c>
    </row>
    <row r="141" spans="2:14" x14ac:dyDescent="0.25">
      <c r="B141" s="364"/>
      <c r="C141" s="369"/>
      <c r="D141" s="102" t="str">
        <f>[1]i.Verkehr!D9</f>
        <v>AlMn</v>
      </c>
      <c r="E141" s="104">
        <f>[1]i.Verkehr!E9</f>
        <v>401.02610000000004</v>
      </c>
      <c r="F141" s="105">
        <f>[1]i.Verkehr!F9</f>
        <v>0.94290594324288668</v>
      </c>
    </row>
    <row r="142" spans="2:14" x14ac:dyDescent="0.25">
      <c r="B142" s="364"/>
      <c r="C142" s="369"/>
      <c r="D142" s="102" t="str">
        <f>[1]i.Verkehr!D10</f>
        <v>Zn-Luft</v>
      </c>
      <c r="E142" s="104">
        <f>[1]i.Verkehr!E10</f>
        <v>113.824</v>
      </c>
      <c r="F142" s="105">
        <f>[1]i.Verkehr!F10</f>
        <v>0.26762678559744196</v>
      </c>
    </row>
    <row r="143" spans="2:14" x14ac:dyDescent="0.25">
      <c r="B143" s="364"/>
      <c r="C143" s="370"/>
      <c r="D143" s="102" t="str">
        <f>[1]i.Verkehr!D11</f>
        <v>Li</v>
      </c>
      <c r="E143" s="104">
        <f>[1]i.Verkehr!E11</f>
        <v>209.13900000000001</v>
      </c>
      <c r="F143" s="105">
        <f>[1]i.Verkehr!F11</f>
        <v>0.49173459299500477</v>
      </c>
      <c r="M143" s="108"/>
      <c r="N143" s="207">
        <f>M143+1</f>
        <v>1</v>
      </c>
    </row>
    <row r="144" spans="2:14" x14ac:dyDescent="0.25">
      <c r="B144" s="364"/>
      <c r="C144" s="71"/>
      <c r="D144" s="102" t="str">
        <f>[1]i.Verkehr!D12</f>
        <v>Sonstige (HgO)</v>
      </c>
      <c r="E144" s="104">
        <f>[1]i.Verkehr!E12</f>
        <v>1.8879999999999999</v>
      </c>
      <c r="F144" s="105">
        <f>[1]i.Verkehr!F12</f>
        <v>4.4391285775229336E-3</v>
      </c>
      <c r="M144" s="108"/>
      <c r="N144" s="214">
        <v>1218</v>
      </c>
    </row>
    <row r="145" spans="2:28" x14ac:dyDescent="0.25">
      <c r="B145" s="109"/>
      <c r="C145" s="110" t="str">
        <f>[1]i.Verkehr!C13</f>
        <v>Summe</v>
      </c>
      <c r="D145" s="111"/>
      <c r="E145" s="112">
        <f>[1]i.Verkehr!E13</f>
        <v>32366.971099999999</v>
      </c>
      <c r="F145" s="113">
        <f>[1]i.Verkehr!F13</f>
        <v>76.102302106922096</v>
      </c>
    </row>
    <row r="146" spans="2:28" x14ac:dyDescent="0.25">
      <c r="B146" s="371" t="str">
        <f>[1]i.Verkehr!B14</f>
        <v>Sekundärbatterien</v>
      </c>
      <c r="C146" s="365" t="str">
        <f>[1]i.Verkehr!C14</f>
        <v>Rund-/Prismatische Zellen / Blockbatterien</v>
      </c>
      <c r="D146" s="102" t="str">
        <f>[1]i.Verkehr!D14</f>
        <v>AlMn</v>
      </c>
      <c r="E146" s="104">
        <f>[1]i.Verkehr!E14</f>
        <v>32.404000000000003</v>
      </c>
      <c r="F146" s="105">
        <f>[1]i.Verkehr!F14</f>
        <v>7.6189365691765459E-2</v>
      </c>
      <c r="G146" s="214"/>
    </row>
    <row r="147" spans="2:28" x14ac:dyDescent="0.25">
      <c r="B147" s="372"/>
      <c r="C147" s="366"/>
      <c r="D147" s="102" t="str">
        <f>[1]i.Verkehr!D15</f>
        <v>Li-Ion</v>
      </c>
      <c r="E147" s="104">
        <f>[1]i.Verkehr!E15</f>
        <v>5368.8078000000005</v>
      </c>
      <c r="F147" s="105">
        <f>[1]i.Verkehr!F15</f>
        <v>12.623319985279679</v>
      </c>
    </row>
    <row r="148" spans="2:28" x14ac:dyDescent="0.25">
      <c r="B148" s="372"/>
      <c r="C148" s="366"/>
      <c r="D148" s="102" t="str">
        <f>[1]i.Verkehr!D16</f>
        <v>NiMH</v>
      </c>
      <c r="E148" s="104">
        <f>[1]i.Verkehr!E16</f>
        <v>2731.67</v>
      </c>
      <c r="F148" s="105">
        <f>[1]i.Verkehr!F16</f>
        <v>6.4227936236027929</v>
      </c>
      <c r="O148" s="207" t="s">
        <v>59</v>
      </c>
      <c r="P148" s="207">
        <v>1999</v>
      </c>
      <c r="Q148" s="207">
        <f>P148+1</f>
        <v>2000</v>
      </c>
      <c r="R148" s="207">
        <f t="shared" ref="R148:Y148" si="9">Q148+1</f>
        <v>2001</v>
      </c>
      <c r="S148" s="207">
        <f t="shared" si="9"/>
        <v>2002</v>
      </c>
      <c r="T148" s="207">
        <f t="shared" si="9"/>
        <v>2003</v>
      </c>
      <c r="U148" s="207">
        <f t="shared" si="9"/>
        <v>2004</v>
      </c>
      <c r="V148" s="207">
        <f t="shared" si="9"/>
        <v>2005</v>
      </c>
      <c r="W148" s="207">
        <f t="shared" si="9"/>
        <v>2006</v>
      </c>
      <c r="X148" s="207">
        <f t="shared" si="9"/>
        <v>2007</v>
      </c>
      <c r="Y148" s="207">
        <f t="shared" si="9"/>
        <v>2008</v>
      </c>
      <c r="Z148" s="207">
        <f>Y148+1</f>
        <v>2009</v>
      </c>
      <c r="AA148" s="207">
        <v>2010</v>
      </c>
      <c r="AB148" s="207">
        <v>2011</v>
      </c>
    </row>
    <row r="149" spans="2:28" x14ac:dyDescent="0.25">
      <c r="B149" s="372"/>
      <c r="C149" s="366"/>
      <c r="D149" s="102" t="str">
        <f>[1]i.Verkehr!D17</f>
        <v>NiCd</v>
      </c>
      <c r="E149" s="104">
        <f>[1]i.Verkehr!E17</f>
        <v>1188.798</v>
      </c>
      <c r="F149" s="105">
        <f>[1]i.Verkehr!F17</f>
        <v>2.7951415120244221</v>
      </c>
      <c r="O149" s="207" t="s">
        <v>60</v>
      </c>
      <c r="P149" s="207">
        <v>394</v>
      </c>
      <c r="Q149" s="207">
        <v>432</v>
      </c>
      <c r="R149" s="207">
        <v>466</v>
      </c>
      <c r="S149" s="207">
        <v>532</v>
      </c>
      <c r="T149" s="207">
        <v>587</v>
      </c>
      <c r="U149" s="207">
        <v>616</v>
      </c>
      <c r="V149" s="207">
        <v>736</v>
      </c>
      <c r="W149" s="207">
        <v>808</v>
      </c>
      <c r="X149" s="207">
        <v>901</v>
      </c>
      <c r="Y149" s="207">
        <v>991</v>
      </c>
      <c r="Z149" s="214">
        <v>1218</v>
      </c>
      <c r="AA149" s="207">
        <v>2394</v>
      </c>
      <c r="AB149" s="207">
        <v>2536</v>
      </c>
    </row>
    <row r="150" spans="2:28" x14ac:dyDescent="0.25">
      <c r="B150" s="372"/>
      <c r="C150" s="367"/>
      <c r="D150" s="102" t="str">
        <f>[1]i.Verkehr!D18</f>
        <v>Pb</v>
      </c>
      <c r="E150" s="104">
        <f>[1]i.Verkehr!E18</f>
        <v>811.90600000000006</v>
      </c>
      <c r="F150" s="105">
        <f>[1]i.Verkehr!F18</f>
        <v>1.9089804697364066</v>
      </c>
    </row>
    <row r="151" spans="2:28" x14ac:dyDescent="0.25">
      <c r="B151" s="372"/>
      <c r="C151" s="368" t="str">
        <f>[1]i.Verkehr!C19</f>
        <v>Knopfzellen</v>
      </c>
      <c r="D151" s="102" t="str">
        <f>[1]i.Verkehr!D19</f>
        <v>Li-Ion</v>
      </c>
      <c r="E151" s="104">
        <f>[1]i.Verkehr!E19</f>
        <v>17.858000000000001</v>
      </c>
      <c r="F151" s="105">
        <f>[1]i.Verkehr!F19</f>
        <v>4.1988325284642247E-2</v>
      </c>
      <c r="M151" s="114"/>
    </row>
    <row r="152" spans="2:28" x14ac:dyDescent="0.25">
      <c r="B152" s="372"/>
      <c r="C152" s="369"/>
      <c r="D152" s="102" t="str">
        <f>[1]i.Verkehr!D20</f>
        <v>NiMH</v>
      </c>
      <c r="E152" s="104">
        <f>[1]i.Verkehr!E20</f>
        <v>10.123999999999999</v>
      </c>
      <c r="F152" s="105">
        <f>[1]i.Verkehr!F20</f>
        <v>2.3803886503624035E-2</v>
      </c>
    </row>
    <row r="153" spans="2:28" x14ac:dyDescent="0.25">
      <c r="B153" s="372"/>
      <c r="C153" s="370"/>
      <c r="D153" s="102" t="str">
        <f>[1]i.Verkehr!D21</f>
        <v>NiCd</v>
      </c>
      <c r="E153" s="104">
        <f>[1]i.Verkehr!E21</f>
        <v>2.331</v>
      </c>
      <c r="F153" s="105">
        <f>[1]i.Verkehr!F21</f>
        <v>5.4807249545582408E-3</v>
      </c>
    </row>
    <row r="154" spans="2:28" x14ac:dyDescent="0.25">
      <c r="B154" s="372"/>
      <c r="C154" s="88"/>
      <c r="D154" s="102" t="str">
        <f>[1]i.Verkehr!D22</f>
        <v>Sonstige</v>
      </c>
      <c r="E154" s="104">
        <f>[1]i.Verkehr!E22</f>
        <v>0</v>
      </c>
      <c r="F154" s="105">
        <f>[1]i.Verkehr!F22</f>
        <v>0</v>
      </c>
      <c r="M154" s="114"/>
    </row>
    <row r="155" spans="2:28" x14ac:dyDescent="0.25">
      <c r="B155" s="373"/>
      <c r="C155" s="110" t="str">
        <f>[1]i.Verkehr!C23</f>
        <v>Summe</v>
      </c>
      <c r="D155" s="111"/>
      <c r="E155" s="112">
        <f>[1]i.Verkehr!E23</f>
        <v>10163.898800000003</v>
      </c>
      <c r="F155" s="113">
        <f>[1]i.Verkehr!F23</f>
        <v>23.897697893077893</v>
      </c>
    </row>
    <row r="156" spans="2:28" x14ac:dyDescent="0.25">
      <c r="B156" s="115"/>
      <c r="C156" s="110" t="str">
        <f>[1]i.Verkehr!C24</f>
        <v>Gesamt</v>
      </c>
      <c r="D156" s="111"/>
      <c r="E156" s="116">
        <f>[1]i.Verkehr!E24</f>
        <v>42530.869900000005</v>
      </c>
      <c r="F156" s="113">
        <f>[1]i.Verkehr!F24</f>
        <v>99.999999999999986</v>
      </c>
      <c r="M156" s="226"/>
    </row>
    <row r="157" spans="2:28" x14ac:dyDescent="0.25">
      <c r="M157" s="226"/>
    </row>
    <row r="159" spans="2:28" ht="15" customHeight="1" x14ac:dyDescent="0.25">
      <c r="B159" s="48">
        <v>2009</v>
      </c>
      <c r="C159" s="48" t="s">
        <v>10</v>
      </c>
      <c r="D159" s="48" t="s">
        <v>11</v>
      </c>
      <c r="E159" s="341" t="s">
        <v>12</v>
      </c>
      <c r="F159" s="342"/>
    </row>
    <row r="160" spans="2:28" x14ac:dyDescent="0.25">
      <c r="B160" s="209"/>
      <c r="C160" s="209"/>
      <c r="D160" s="210"/>
      <c r="E160" s="211" t="s">
        <v>15</v>
      </c>
      <c r="F160" s="211" t="s">
        <v>16</v>
      </c>
    </row>
    <row r="161" spans="2:6" ht="15" customHeight="1" x14ac:dyDescent="0.25">
      <c r="B161" s="343" t="s">
        <v>18</v>
      </c>
      <c r="C161" s="345" t="s">
        <v>19</v>
      </c>
      <c r="D161" s="210" t="s">
        <v>20</v>
      </c>
      <c r="E161" s="227">
        <f>1737+1449.3+(92.68/3)</f>
        <v>3217.1933333333336</v>
      </c>
      <c r="F161" s="228">
        <f>E161*100/E181</f>
        <v>8.6257590669855766</v>
      </c>
    </row>
    <row r="162" spans="2:6" x14ac:dyDescent="0.25">
      <c r="B162" s="344"/>
      <c r="C162" s="346"/>
      <c r="D162" s="210" t="s">
        <v>24</v>
      </c>
      <c r="E162" s="227">
        <f>23254+3079.4+(92.68/3)</f>
        <v>26364.293333333335</v>
      </c>
      <c r="F162" s="228">
        <f>E162*100/E181</f>
        <v>70.686470691223832</v>
      </c>
    </row>
    <row r="163" spans="2:6" x14ac:dyDescent="0.25">
      <c r="B163" s="344"/>
      <c r="C163" s="346"/>
      <c r="D163" s="210" t="s">
        <v>26</v>
      </c>
      <c r="E163" s="227">
        <f>19+1+(92.68/3)</f>
        <v>50.893333333333331</v>
      </c>
      <c r="F163" s="228">
        <f>E163*100/E181</f>
        <v>0.13645236265433819</v>
      </c>
    </row>
    <row r="164" spans="2:6" x14ac:dyDescent="0.25">
      <c r="B164" s="344"/>
      <c r="C164" s="347"/>
      <c r="D164" s="210" t="s">
        <v>29</v>
      </c>
      <c r="E164" s="227">
        <f>224+42+0.131</f>
        <v>266.13099999999997</v>
      </c>
      <c r="F164" s="228">
        <f>E164*100/E181</f>
        <v>0.71353557228638353</v>
      </c>
    </row>
    <row r="165" spans="2:6" x14ac:dyDescent="0.25">
      <c r="B165" s="344"/>
      <c r="C165" s="351" t="s">
        <v>31</v>
      </c>
      <c r="D165" s="210" t="s">
        <v>32</v>
      </c>
      <c r="E165" s="227">
        <f>28+3+(1.242/4)</f>
        <v>31.310500000000001</v>
      </c>
      <c r="F165" s="228">
        <f>E165*100/E181</f>
        <v>8.3947963732420555E-2</v>
      </c>
    </row>
    <row r="166" spans="2:6" x14ac:dyDescent="0.25">
      <c r="B166" s="344"/>
      <c r="C166" s="352"/>
      <c r="D166" s="210" t="s">
        <v>24</v>
      </c>
      <c r="E166" s="227">
        <f>114+19+(1.242/4)</f>
        <v>133.31049999999999</v>
      </c>
      <c r="F166" s="228">
        <f>E166*100/E181</f>
        <v>0.35742466645856341</v>
      </c>
    </row>
    <row r="167" spans="2:6" x14ac:dyDescent="0.25">
      <c r="B167" s="344"/>
      <c r="C167" s="352"/>
      <c r="D167" s="210" t="s">
        <v>26</v>
      </c>
      <c r="E167" s="227">
        <f>101+(1.242/4)</f>
        <v>101.3105</v>
      </c>
      <c r="F167" s="228">
        <f>E167*100/E181</f>
        <v>0.27162805383859706</v>
      </c>
    </row>
    <row r="168" spans="2:6" x14ac:dyDescent="0.25">
      <c r="B168" s="344"/>
      <c r="C168" s="353"/>
      <c r="D168" s="210" t="s">
        <v>29</v>
      </c>
      <c r="E168" s="227">
        <f>187+11+(1.242/4)</f>
        <v>198.31049999999999</v>
      </c>
      <c r="F168" s="228">
        <f>E168*100/E181</f>
        <v>0.53169903584287015</v>
      </c>
    </row>
    <row r="169" spans="2:6" x14ac:dyDescent="0.25">
      <c r="B169" s="344"/>
      <c r="C169" s="71"/>
      <c r="D169" s="210" t="s">
        <v>61</v>
      </c>
      <c r="E169" s="227">
        <f>0+0.095</f>
        <v>9.5000000000000001E-2</v>
      </c>
      <c r="F169" s="228">
        <f>E169*100/E181</f>
        <v>2.5470869371552521E-4</v>
      </c>
    </row>
    <row r="170" spans="2:6" x14ac:dyDescent="0.25">
      <c r="B170" s="73"/>
      <c r="C170" s="74" t="s">
        <v>38</v>
      </c>
      <c r="D170" s="216"/>
      <c r="E170" s="229">
        <f>SUM(E161:E169)</f>
        <v>30362.848000000002</v>
      </c>
      <c r="F170" s="221">
        <f>SUM(F161:F169)</f>
        <v>81.407172121716329</v>
      </c>
    </row>
    <row r="171" spans="2:6" x14ac:dyDescent="0.25">
      <c r="B171" s="357" t="s">
        <v>39</v>
      </c>
      <c r="C171" s="345" t="s">
        <v>40</v>
      </c>
      <c r="D171" s="210" t="s">
        <v>24</v>
      </c>
      <c r="E171" s="121">
        <v>18</v>
      </c>
      <c r="F171" s="220">
        <f>E171*100/E181</f>
        <v>4.8260594598731096E-2</v>
      </c>
    </row>
    <row r="172" spans="2:6" x14ac:dyDescent="0.25">
      <c r="B172" s="358"/>
      <c r="C172" s="346"/>
      <c r="D172" s="210" t="s">
        <v>42</v>
      </c>
      <c r="E172" s="121">
        <f>3117+83+10.56</f>
        <v>3210.56</v>
      </c>
      <c r="F172" s="220">
        <f>E172*100/E181</f>
        <v>8.6079741441612274</v>
      </c>
    </row>
    <row r="173" spans="2:6" x14ac:dyDescent="0.25">
      <c r="B173" s="358"/>
      <c r="C173" s="346"/>
      <c r="D173" s="210" t="s">
        <v>44</v>
      </c>
      <c r="E173" s="121">
        <f>1821+212+1</f>
        <v>2034</v>
      </c>
      <c r="F173" s="220">
        <f>E173*100/E181</f>
        <v>5.4534471896566137</v>
      </c>
    </row>
    <row r="174" spans="2:6" x14ac:dyDescent="0.25">
      <c r="B174" s="358"/>
      <c r="C174" s="346"/>
      <c r="D174" s="210" t="s">
        <v>46</v>
      </c>
      <c r="E174" s="121">
        <f>692+110+0.043</f>
        <v>802.04300000000001</v>
      </c>
      <c r="F174" s="220">
        <f>E174*100/E181</f>
        <v>2.1503928929861158</v>
      </c>
    </row>
    <row r="175" spans="2:6" x14ac:dyDescent="0.25">
      <c r="B175" s="358"/>
      <c r="C175" s="347"/>
      <c r="D175" s="210" t="s">
        <v>48</v>
      </c>
      <c r="E175" s="121">
        <f>645+207+0.001</f>
        <v>852.00099999999998</v>
      </c>
      <c r="F175" s="220">
        <f>E175*100/E181</f>
        <v>2.2843374921507493</v>
      </c>
    </row>
    <row r="176" spans="2:6" x14ac:dyDescent="0.25">
      <c r="B176" s="358"/>
      <c r="C176" s="351" t="s">
        <v>31</v>
      </c>
      <c r="D176" s="210" t="s">
        <v>42</v>
      </c>
      <c r="E176" s="121">
        <f>9+0.038+(0.872/3)</f>
        <v>9.3286666666666669</v>
      </c>
      <c r="F176" s="220">
        <f>E176*100/E181</f>
        <v>2.5011500008149785E-2</v>
      </c>
    </row>
    <row r="177" spans="2:12" x14ac:dyDescent="0.25">
      <c r="B177" s="358"/>
      <c r="C177" s="352"/>
      <c r="D177" s="210" t="s">
        <v>44</v>
      </c>
      <c r="E177" s="121">
        <f>7+0.0218+(0.872/3)</f>
        <v>7.3124666666666664</v>
      </c>
      <c r="F177" s="220">
        <f>E177*100/E181</f>
        <v>1.9605777184263026E-2</v>
      </c>
    </row>
    <row r="178" spans="2:12" x14ac:dyDescent="0.25">
      <c r="B178" s="358"/>
      <c r="C178" s="353"/>
      <c r="D178" s="210" t="s">
        <v>46</v>
      </c>
      <c r="E178" s="121">
        <f>1+0.126+(0.872/3)</f>
        <v>1.4166666666666665</v>
      </c>
      <c r="F178" s="220">
        <f>E178*100/E181</f>
        <v>3.7982875378630952E-3</v>
      </c>
    </row>
    <row r="179" spans="2:12" x14ac:dyDescent="0.25">
      <c r="B179" s="359"/>
      <c r="C179" s="88"/>
      <c r="D179" s="210" t="s">
        <v>52</v>
      </c>
      <c r="E179" s="121"/>
      <c r="F179" s="220">
        <f>E179*100/E181</f>
        <v>0</v>
      </c>
    </row>
    <row r="180" spans="2:12" x14ac:dyDescent="0.25">
      <c r="B180" s="89"/>
      <c r="C180" s="74" t="s">
        <v>38</v>
      </c>
      <c r="D180" s="216"/>
      <c r="E180" s="229">
        <f>SUM(E171:E179)</f>
        <v>6934.6617999999989</v>
      </c>
      <c r="F180" s="221">
        <f>SUM(F171:F179)</f>
        <v>18.592827878283714</v>
      </c>
    </row>
    <row r="181" spans="2:12" x14ac:dyDescent="0.25">
      <c r="B181" s="89"/>
      <c r="C181" s="74" t="s">
        <v>53</v>
      </c>
      <c r="D181" s="216"/>
      <c r="E181" s="122">
        <f>E170+E180</f>
        <v>37297.5098</v>
      </c>
      <c r="F181" s="221">
        <f>F170+F180</f>
        <v>100.00000000000004</v>
      </c>
    </row>
    <row r="186" spans="2:12" ht="45" x14ac:dyDescent="0.25">
      <c r="D186" s="207">
        <v>2009</v>
      </c>
      <c r="E186" s="207">
        <v>2010</v>
      </c>
      <c r="F186" s="207">
        <v>2011</v>
      </c>
      <c r="G186" s="207">
        <v>2012</v>
      </c>
      <c r="H186" s="207">
        <v>2013</v>
      </c>
      <c r="I186" s="246" t="s">
        <v>89</v>
      </c>
      <c r="J186" s="246" t="s">
        <v>90</v>
      </c>
      <c r="K186" s="246" t="s">
        <v>91</v>
      </c>
      <c r="L186" s="246"/>
    </row>
    <row r="187" spans="2:12" x14ac:dyDescent="0.25">
      <c r="C187" s="207" t="s">
        <v>18</v>
      </c>
      <c r="D187" s="230">
        <f>E170</f>
        <v>30362.848000000002</v>
      </c>
      <c r="E187" s="230">
        <f>E145</f>
        <v>32366.971099999999</v>
      </c>
      <c r="F187" s="230">
        <f>E120</f>
        <v>31211.600765999996</v>
      </c>
      <c r="G187" s="214">
        <f>E90</f>
        <v>32001.046000000002</v>
      </c>
      <c r="H187" s="214">
        <f>E50</f>
        <v>31184.773999999994</v>
      </c>
      <c r="I187" s="207">
        <f t="shared" ref="I187:K195" si="10">(100*F187/E187)-100</f>
        <v>-3.5695967053277968</v>
      </c>
      <c r="J187" s="207">
        <f t="shared" si="10"/>
        <v>2.5293327308606877</v>
      </c>
      <c r="K187" s="207">
        <f t="shared" si="10"/>
        <v>-2.5507666218160665</v>
      </c>
    </row>
    <row r="188" spans="2:12" x14ac:dyDescent="0.25">
      <c r="C188" s="207" t="s">
        <v>39</v>
      </c>
      <c r="D188" s="230">
        <f>E180</f>
        <v>6934.6617999999989</v>
      </c>
      <c r="E188" s="230">
        <f>E155</f>
        <v>10163.898800000003</v>
      </c>
      <c r="F188" s="230">
        <f>E130</f>
        <v>12122.740000000002</v>
      </c>
      <c r="G188" s="214">
        <f>E100</f>
        <v>11547.918</v>
      </c>
      <c r="H188" s="214">
        <f>E60</f>
        <v>11256.054</v>
      </c>
      <c r="I188" s="207">
        <f t="shared" si="10"/>
        <v>19.272537424319879</v>
      </c>
      <c r="J188" s="207">
        <f t="shared" si="10"/>
        <v>-4.74168381075566</v>
      </c>
      <c r="K188" s="207">
        <f t="shared" si="10"/>
        <v>-2.527416630426373</v>
      </c>
    </row>
    <row r="189" spans="2:12" x14ac:dyDescent="0.25">
      <c r="C189" s="207" t="s">
        <v>24</v>
      </c>
      <c r="D189" s="230">
        <f>E162</f>
        <v>26364.293333333335</v>
      </c>
      <c r="E189" s="230">
        <f>E137</f>
        <v>25902.377666666667</v>
      </c>
      <c r="F189" s="230">
        <f>E112</f>
        <v>24162.112333333331</v>
      </c>
      <c r="G189" s="214">
        <f>E82</f>
        <v>25296.800333333336</v>
      </c>
      <c r="H189" s="214">
        <f>E42</f>
        <v>25569.058666666664</v>
      </c>
      <c r="I189" s="207">
        <f t="shared" si="10"/>
        <v>-6.7185543957721592</v>
      </c>
      <c r="J189" s="207">
        <f t="shared" si="10"/>
        <v>4.6961457026032605</v>
      </c>
      <c r="K189" s="207">
        <f t="shared" si="10"/>
        <v>1.0762560076602767</v>
      </c>
    </row>
    <row r="190" spans="2:12" x14ac:dyDescent="0.25">
      <c r="C190" s="207" t="s">
        <v>20</v>
      </c>
      <c r="D190" s="230">
        <f>E161</f>
        <v>3217.1933333333336</v>
      </c>
      <c r="E190" s="230">
        <f>E136</f>
        <v>5341.6236666666673</v>
      </c>
      <c r="F190" s="230">
        <f>E111</f>
        <v>5982.2481993333331</v>
      </c>
      <c r="G190" s="214">
        <f>E81</f>
        <v>5337.3753333333334</v>
      </c>
      <c r="H190" s="214">
        <f>E41</f>
        <v>4366.5756666666657</v>
      </c>
      <c r="I190" s="207">
        <f t="shared" si="10"/>
        <v>11.993067513616779</v>
      </c>
      <c r="J190" s="207">
        <f t="shared" si="10"/>
        <v>-10.779774501363306</v>
      </c>
      <c r="K190" s="207">
        <f t="shared" si="10"/>
        <v>-18.188708982180145</v>
      </c>
    </row>
    <row r="191" spans="2:12" x14ac:dyDescent="0.25">
      <c r="C191" s="207" t="s">
        <v>29</v>
      </c>
      <c r="D191" s="230">
        <f>E164+E168</f>
        <v>464.44149999999996</v>
      </c>
      <c r="E191" s="230">
        <f>E139+E143</f>
        <v>504.93899999999996</v>
      </c>
      <c r="F191" s="230">
        <f>E118+E114</f>
        <v>582.99890000000005</v>
      </c>
      <c r="G191" s="214">
        <f>E88+E84</f>
        <v>713.75400000000002</v>
      </c>
      <c r="H191" s="214">
        <f>E44+E48</f>
        <v>771.73399999999992</v>
      </c>
      <c r="I191" s="207">
        <f t="shared" si="10"/>
        <v>15.459273298358838</v>
      </c>
      <c r="J191" s="207">
        <f t="shared" si="10"/>
        <v>22.428018303293541</v>
      </c>
      <c r="K191" s="207">
        <f t="shared" si="10"/>
        <v>8.1232469450258691</v>
      </c>
    </row>
    <row r="192" spans="2:12" x14ac:dyDescent="0.25">
      <c r="C192" s="207" t="s">
        <v>42</v>
      </c>
      <c r="D192" s="230">
        <f>E172+E176</f>
        <v>3219.8886666666667</v>
      </c>
      <c r="E192" s="230">
        <f>E147+E151</f>
        <v>5386.6658000000007</v>
      </c>
      <c r="F192" s="230">
        <f>E122+E126</f>
        <v>6633.1050000000005</v>
      </c>
      <c r="G192" s="214">
        <f>E92+E96</f>
        <v>6911.1619999999994</v>
      </c>
      <c r="H192" s="214">
        <f>E52+E56</f>
        <v>6402.4530000000013</v>
      </c>
      <c r="I192" s="207">
        <f t="shared" si="10"/>
        <v>23.139345307072873</v>
      </c>
      <c r="J192" s="207">
        <f t="shared" si="10"/>
        <v>4.1919583664060696</v>
      </c>
      <c r="K192" s="207">
        <f t="shared" si="10"/>
        <v>-7.3606869582857115</v>
      </c>
    </row>
    <row r="193" spans="1:12" x14ac:dyDescent="0.25">
      <c r="A193" s="231"/>
      <c r="C193" s="231" t="s">
        <v>44</v>
      </c>
      <c r="D193" s="232">
        <f>E173+E177</f>
        <v>2041.3124666666668</v>
      </c>
      <c r="E193" s="232">
        <f>E148+E152</f>
        <v>2741.7939999999999</v>
      </c>
      <c r="F193" s="232">
        <f>E123+E127</f>
        <v>3137.6430000000005</v>
      </c>
      <c r="G193" s="214">
        <f>E93+E97</f>
        <v>2616.0890000000004</v>
      </c>
      <c r="H193" s="214">
        <f>E53+E57</f>
        <v>2858.116</v>
      </c>
      <c r="I193" s="231">
        <f t="shared" si="10"/>
        <v>14.437590862041446</v>
      </c>
      <c r="J193" s="231">
        <f t="shared" si="10"/>
        <v>-16.62247744564948</v>
      </c>
      <c r="K193" s="231">
        <f t="shared" si="10"/>
        <v>9.2514818876574623</v>
      </c>
      <c r="L193" s="230">
        <f>F193-E193</f>
        <v>395.84900000000061</v>
      </c>
    </row>
    <row r="194" spans="1:12" x14ac:dyDescent="0.25">
      <c r="C194" s="207" t="s">
        <v>46</v>
      </c>
      <c r="D194" s="230">
        <f>E174+E178</f>
        <v>803.45966666666664</v>
      </c>
      <c r="E194" s="230">
        <f>E149+E153</f>
        <v>1191.1289999999999</v>
      </c>
      <c r="F194" s="230">
        <f>E124+E128</f>
        <v>1335.867</v>
      </c>
      <c r="G194" s="214">
        <f>E98+E94</f>
        <v>1008.8050000000001</v>
      </c>
      <c r="H194" s="214">
        <f>E54+E58</f>
        <v>775.28099999999995</v>
      </c>
      <c r="I194" s="207">
        <f t="shared" si="10"/>
        <v>12.151328697395485</v>
      </c>
      <c r="J194" s="207">
        <f t="shared" si="10"/>
        <v>-24.483125939932634</v>
      </c>
      <c r="K194" s="207">
        <f t="shared" si="10"/>
        <v>-23.148576781439445</v>
      </c>
      <c r="L194" s="230">
        <f>F194-E194</f>
        <v>144.73800000000006</v>
      </c>
    </row>
    <row r="195" spans="1:12" x14ac:dyDescent="0.25">
      <c r="C195" s="207" t="s">
        <v>48</v>
      </c>
      <c r="D195" s="230">
        <f>E175</f>
        <v>852.00099999999998</v>
      </c>
      <c r="E195" s="230">
        <f>E150</f>
        <v>811.90600000000006</v>
      </c>
      <c r="F195" s="230">
        <f>E125</f>
        <v>990.47599999999989</v>
      </c>
      <c r="G195" s="214">
        <f>E95</f>
        <v>991.7120000000001</v>
      </c>
      <c r="H195" s="214">
        <f>E55</f>
        <v>1196.3269999999998</v>
      </c>
      <c r="I195" s="207">
        <f t="shared" si="10"/>
        <v>21.993925405157725</v>
      </c>
      <c r="J195" s="207">
        <f t="shared" si="10"/>
        <v>0.12478848553627131</v>
      </c>
      <c r="K195" s="207">
        <f t="shared" si="10"/>
        <v>20.632502178051666</v>
      </c>
    </row>
    <row r="196" spans="1:12" x14ac:dyDescent="0.25">
      <c r="C196" s="245" t="s">
        <v>53</v>
      </c>
      <c r="F196" s="214">
        <f>E131</f>
        <v>43334.340765999994</v>
      </c>
      <c r="G196" s="214">
        <f>E101</f>
        <v>43548.964</v>
      </c>
      <c r="H196" s="214">
        <f>E61</f>
        <v>42440.827999999994</v>
      </c>
    </row>
    <row r="220" spans="1:9" x14ac:dyDescent="0.25">
      <c r="B220" s="48" t="s">
        <v>11</v>
      </c>
      <c r="C220" s="211" t="s">
        <v>86</v>
      </c>
      <c r="F220" s="48" t="s">
        <v>11</v>
      </c>
      <c r="G220" s="211" t="s">
        <v>87</v>
      </c>
    </row>
    <row r="221" spans="1:9" ht="25.5" x14ac:dyDescent="0.25">
      <c r="B221" s="126" t="s">
        <v>18</v>
      </c>
      <c r="C221" s="210"/>
      <c r="F221" s="126" t="s">
        <v>18</v>
      </c>
      <c r="G221" s="210"/>
    </row>
    <row r="222" spans="1:9" x14ac:dyDescent="0.25">
      <c r="A222" s="374"/>
      <c r="B222" s="127" t="s">
        <v>63</v>
      </c>
      <c r="C222" s="128">
        <f>F112</f>
        <v>55.757424495749703</v>
      </c>
      <c r="D222" s="374" t="s">
        <v>18</v>
      </c>
      <c r="F222" s="127" t="s">
        <v>63</v>
      </c>
      <c r="G222" s="233">
        <f>F42+F46</f>
        <v>60.654748928712387</v>
      </c>
    </row>
    <row r="223" spans="1:9" x14ac:dyDescent="0.25">
      <c r="A223" s="374"/>
      <c r="B223" s="142" t="s">
        <v>64</v>
      </c>
      <c r="C223" s="128">
        <f>F111</f>
        <v>13.804867210595688</v>
      </c>
      <c r="D223" s="374"/>
      <c r="F223" s="142" t="s">
        <v>64</v>
      </c>
      <c r="G223" s="233">
        <f>F41</f>
        <v>10.288620350825074</v>
      </c>
    </row>
    <row r="224" spans="1:9" x14ac:dyDescent="0.25">
      <c r="A224" s="374"/>
      <c r="B224" s="142"/>
      <c r="C224" s="128">
        <f>F138+F139+F140+F141+F142+F143+F144</f>
        <v>2.6403639739959011</v>
      </c>
      <c r="D224" s="374"/>
      <c r="E224" s="234">
        <f>C222+C223+C224</f>
        <v>72.202655680341294</v>
      </c>
      <c r="F224" s="142" t="s">
        <v>65</v>
      </c>
      <c r="G224" s="233">
        <f>F43+F44+F45+F47+F48+F49</f>
        <v>2.5348720026542999</v>
      </c>
      <c r="H224" s="209" t="s">
        <v>38</v>
      </c>
      <c r="I224" s="235">
        <f>SUM(G222:G224)</f>
        <v>73.47824128219176</v>
      </c>
    </row>
    <row r="225" spans="1:9" ht="26.25" x14ac:dyDescent="0.25">
      <c r="B225" s="130" t="s">
        <v>39</v>
      </c>
      <c r="C225" s="136"/>
      <c r="D225" s="131"/>
      <c r="E225" s="236"/>
      <c r="F225" s="237" t="s">
        <v>39</v>
      </c>
      <c r="G225" s="233"/>
    </row>
    <row r="226" spans="1:9" x14ac:dyDescent="0.25">
      <c r="B226" s="132"/>
      <c r="C226" s="136"/>
      <c r="D226" s="131"/>
      <c r="E226" s="236"/>
    </row>
    <row r="227" spans="1:9" x14ac:dyDescent="0.25">
      <c r="A227" s="374"/>
      <c r="B227" s="142" t="s">
        <v>66</v>
      </c>
      <c r="C227" s="128">
        <f>F122</f>
        <v>15.270734209927225</v>
      </c>
      <c r="D227" s="374" t="s">
        <v>39</v>
      </c>
      <c r="E227" s="236"/>
      <c r="F227" s="142" t="s">
        <v>66</v>
      </c>
      <c r="G227" s="233">
        <f>F56+F52</f>
        <v>15.085598706980935</v>
      </c>
    </row>
    <row r="228" spans="1:9" x14ac:dyDescent="0.25">
      <c r="A228" s="374"/>
      <c r="B228" s="142" t="s">
        <v>67</v>
      </c>
      <c r="C228" s="128">
        <f>F123</f>
        <v>7.2194660047871766</v>
      </c>
      <c r="D228" s="374"/>
      <c r="E228" s="236"/>
      <c r="F228" s="142" t="s">
        <v>67</v>
      </c>
      <c r="G228" s="233">
        <f>F53+F57</f>
        <v>6.7343549470806758</v>
      </c>
    </row>
    <row r="229" spans="1:9" x14ac:dyDescent="0.25">
      <c r="A229" s="374"/>
      <c r="B229" s="142" t="s">
        <v>68</v>
      </c>
      <c r="C229" s="128">
        <f>F124</f>
        <v>3.0798507059490094</v>
      </c>
      <c r="D229" s="374"/>
      <c r="E229" s="236"/>
      <c r="F229" s="142" t="s">
        <v>68</v>
      </c>
      <c r="G229" s="233">
        <f>F54+F58</f>
        <v>1.8267339176323329</v>
      </c>
    </row>
    <row r="230" spans="1:9" x14ac:dyDescent="0.25">
      <c r="A230" s="374"/>
      <c r="B230" s="142" t="s">
        <v>69</v>
      </c>
      <c r="C230" s="128">
        <f>F125</f>
        <v>2.2856607080939484</v>
      </c>
      <c r="D230" s="374"/>
      <c r="E230" s="236">
        <f>C227+C228+C229+C230</f>
        <v>27.855711628757362</v>
      </c>
      <c r="F230" s="142" t="s">
        <v>69</v>
      </c>
      <c r="G230" s="233">
        <f>F55</f>
        <v>2.8188116405269001</v>
      </c>
      <c r="H230" s="210" t="s">
        <v>38</v>
      </c>
      <c r="I230" s="238">
        <f>SUM(G227:G231)</f>
        <v>26.521758717808243</v>
      </c>
    </row>
    <row r="231" spans="1:9" x14ac:dyDescent="0.25">
      <c r="B231" s="210"/>
      <c r="C231" s="239"/>
      <c r="F231" s="209" t="s">
        <v>88</v>
      </c>
      <c r="G231" s="240">
        <f>F59+F51</f>
        <v>5.6259505587402781E-2</v>
      </c>
    </row>
    <row r="232" spans="1:9" x14ac:dyDescent="0.25">
      <c r="B232" s="241" t="s">
        <v>38</v>
      </c>
      <c r="C232" s="239">
        <f>C222+C223+C224+C227+C228+C229+C230</f>
        <v>100.05836730909866</v>
      </c>
      <c r="D232" s="50"/>
      <c r="F232" s="242" t="s">
        <v>38</v>
      </c>
      <c r="G232" s="243">
        <f>G222+G223+G224+G227+G228+G229+G230</f>
        <v>99.943740494412609</v>
      </c>
    </row>
  </sheetData>
  <mergeCells count="62">
    <mergeCell ref="B18:B27"/>
    <mergeCell ref="C18:C22"/>
    <mergeCell ref="K18:K22"/>
    <mergeCell ref="C23:C25"/>
    <mergeCell ref="K23:K25"/>
    <mergeCell ref="E6:F6"/>
    <mergeCell ref="B8:B16"/>
    <mergeCell ref="C8:C11"/>
    <mergeCell ref="K8:K11"/>
    <mergeCell ref="C12:C15"/>
    <mergeCell ref="K12:K15"/>
    <mergeCell ref="A222:A224"/>
    <mergeCell ref="D222:D224"/>
    <mergeCell ref="A227:A230"/>
    <mergeCell ref="D227:D230"/>
    <mergeCell ref="E159:F159"/>
    <mergeCell ref="B161:B169"/>
    <mergeCell ref="C161:C164"/>
    <mergeCell ref="C165:C168"/>
    <mergeCell ref="B171:B179"/>
    <mergeCell ref="C171:C175"/>
    <mergeCell ref="C176:C178"/>
    <mergeCell ref="B136:B144"/>
    <mergeCell ref="C136:C139"/>
    <mergeCell ref="C140:C143"/>
    <mergeCell ref="B146:B155"/>
    <mergeCell ref="C146:C150"/>
    <mergeCell ref="C151:C153"/>
    <mergeCell ref="E134:F134"/>
    <mergeCell ref="E109:F109"/>
    <mergeCell ref="B111:B119"/>
    <mergeCell ref="C111:C114"/>
    <mergeCell ref="K113:K116"/>
    <mergeCell ref="C115:C118"/>
    <mergeCell ref="K117:K120"/>
    <mergeCell ref="B121:B130"/>
    <mergeCell ref="C121:C125"/>
    <mergeCell ref="K123:K127"/>
    <mergeCell ref="C126:C128"/>
    <mergeCell ref="K128:K130"/>
    <mergeCell ref="B81:B89"/>
    <mergeCell ref="C81:C84"/>
    <mergeCell ref="L81:L84"/>
    <mergeCell ref="C85:C88"/>
    <mergeCell ref="L85:L88"/>
    <mergeCell ref="B91:B100"/>
    <mergeCell ref="C91:C95"/>
    <mergeCell ref="L91:L95"/>
    <mergeCell ref="C96:C98"/>
    <mergeCell ref="L96:L98"/>
    <mergeCell ref="E79:F79"/>
    <mergeCell ref="E39:F39"/>
    <mergeCell ref="B41:B49"/>
    <mergeCell ref="C41:C44"/>
    <mergeCell ref="L41:L44"/>
    <mergeCell ref="C45:C48"/>
    <mergeCell ref="L45:L48"/>
    <mergeCell ref="B51:B60"/>
    <mergeCell ref="C51:C55"/>
    <mergeCell ref="L51:L55"/>
    <mergeCell ref="C56:C58"/>
    <mergeCell ref="L56:L5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25"/>
  <sheetViews>
    <sheetView workbookViewId="0">
      <selection activeCell="J71" sqref="J71"/>
    </sheetView>
  </sheetViews>
  <sheetFormatPr baseColWidth="10" defaultColWidth="11.42578125" defaultRowHeight="15" x14ac:dyDescent="0.25"/>
  <cols>
    <col min="1" max="1" width="15.7109375" style="46" customWidth="1"/>
    <col min="2" max="2" width="11.42578125" style="46"/>
    <col min="3" max="3" width="21.140625" style="46" customWidth="1"/>
    <col min="4" max="4" width="14" style="46" customWidth="1"/>
    <col min="5" max="5" width="20.42578125" style="46" customWidth="1"/>
    <col min="6" max="6" width="22.7109375" style="46" customWidth="1"/>
    <col min="7" max="11" width="11.42578125" style="46"/>
    <col min="12" max="12" width="20.85546875" style="46" customWidth="1"/>
    <col min="13" max="14" width="24.7109375" style="46" customWidth="1"/>
    <col min="15" max="16384" width="11.42578125" style="46"/>
  </cols>
  <sheetData>
    <row r="1" spans="2:14" x14ac:dyDescent="0.25">
      <c r="M1" s="47"/>
    </row>
    <row r="2" spans="2:14" ht="32.25" customHeight="1" x14ac:dyDescent="0.25">
      <c r="B2" s="48">
        <v>2011</v>
      </c>
      <c r="C2" s="48" t="s">
        <v>10</v>
      </c>
      <c r="D2" s="48" t="s">
        <v>11</v>
      </c>
      <c r="E2" s="341" t="s">
        <v>12</v>
      </c>
      <c r="F2" s="395"/>
      <c r="M2" s="49" t="s">
        <v>13</v>
      </c>
      <c r="N2" s="50" t="s">
        <v>14</v>
      </c>
    </row>
    <row r="3" spans="2:14" x14ac:dyDescent="0.25">
      <c r="B3" s="51"/>
      <c r="C3" s="51"/>
      <c r="D3" s="52"/>
      <c r="E3" s="53" t="s">
        <v>15</v>
      </c>
      <c r="F3" s="53" t="s">
        <v>16</v>
      </c>
      <c r="J3" s="54"/>
      <c r="K3" s="54"/>
      <c r="L3" s="54"/>
      <c r="M3" s="55" t="s">
        <v>17</v>
      </c>
      <c r="N3" s="56" t="s">
        <v>17</v>
      </c>
    </row>
    <row r="4" spans="2:14" ht="51" x14ac:dyDescent="0.25">
      <c r="B4" s="343" t="s">
        <v>18</v>
      </c>
      <c r="C4" s="397" t="s">
        <v>19</v>
      </c>
      <c r="D4" s="52" t="s">
        <v>20</v>
      </c>
      <c r="E4" s="57">
        <f>2245+3703.909866+(96.208/3)+N6</f>
        <v>5982.2481993333331</v>
      </c>
      <c r="F4" s="58">
        <f>E4*100/E24</f>
        <v>13.804867210595688</v>
      </c>
      <c r="J4" s="54"/>
      <c r="K4" s="59" t="s">
        <v>21</v>
      </c>
      <c r="L4" s="59" t="s">
        <v>22</v>
      </c>
      <c r="M4" s="60" t="s">
        <v>12</v>
      </c>
      <c r="N4" s="61" t="s">
        <v>23</v>
      </c>
    </row>
    <row r="5" spans="2:14" x14ac:dyDescent="0.25">
      <c r="B5" s="396"/>
      <c r="C5" s="398"/>
      <c r="D5" s="52" t="s">
        <v>24</v>
      </c>
      <c r="E5" s="57">
        <f>19268+3350.779+(96.208/3)+N7</f>
        <v>24162.112333333331</v>
      </c>
      <c r="F5" s="58">
        <f>E5*100/E24</f>
        <v>55.757424495749703</v>
      </c>
      <c r="J5" s="54"/>
      <c r="K5" s="62"/>
      <c r="L5" s="62"/>
      <c r="M5" s="53" t="s">
        <v>15</v>
      </c>
      <c r="N5" s="63" t="s">
        <v>25</v>
      </c>
    </row>
    <row r="6" spans="2:14" ht="25.5" x14ac:dyDescent="0.25">
      <c r="B6" s="396"/>
      <c r="C6" s="398"/>
      <c r="D6" s="52" t="s">
        <v>26</v>
      </c>
      <c r="E6" s="57">
        <f>6+1.91+(96.208/3)+N8</f>
        <v>39.979333333333329</v>
      </c>
      <c r="F6" s="58">
        <f>E6*100/E24</f>
        <v>9.2257855148222323E-2</v>
      </c>
      <c r="I6" s="64"/>
      <c r="J6" s="54"/>
      <c r="K6" s="382" t="s">
        <v>27</v>
      </c>
      <c r="L6" s="61" t="s">
        <v>28</v>
      </c>
      <c r="M6" s="65">
        <v>3703.909866</v>
      </c>
      <c r="N6" s="66">
        <v>1.2689999999999999</v>
      </c>
    </row>
    <row r="7" spans="2:14" ht="25.5" x14ac:dyDescent="0.25">
      <c r="B7" s="396"/>
      <c r="C7" s="399"/>
      <c r="D7" s="52" t="s">
        <v>29</v>
      </c>
      <c r="E7" s="57">
        <f>236+70.13+1.044+N9</f>
        <v>315.77</v>
      </c>
      <c r="F7" s="58">
        <f>E7*100/E24</f>
        <v>0.72868305925113386</v>
      </c>
      <c r="J7" s="54"/>
      <c r="K7" s="382"/>
      <c r="L7" s="67" t="s">
        <v>30</v>
      </c>
      <c r="M7" s="65">
        <v>3350.7791850000003</v>
      </c>
      <c r="N7" s="68">
        <v>1511.2639999999999</v>
      </c>
    </row>
    <row r="8" spans="2:14" ht="25.5" x14ac:dyDescent="0.25">
      <c r="B8" s="396"/>
      <c r="C8" s="351" t="s">
        <v>31</v>
      </c>
      <c r="D8" s="52" t="s">
        <v>32</v>
      </c>
      <c r="E8" s="57">
        <f>30+17.583+0.002</f>
        <v>47.585000000000001</v>
      </c>
      <c r="F8" s="58">
        <f>E8*100/E24</f>
        <v>0.10980898557325017</v>
      </c>
      <c r="J8" s="54"/>
      <c r="K8" s="382"/>
      <c r="L8" s="67" t="s">
        <v>33</v>
      </c>
      <c r="M8" s="65">
        <v>1.91</v>
      </c>
      <c r="N8" s="69">
        <v>0</v>
      </c>
    </row>
    <row r="9" spans="2:14" ht="25.5" x14ac:dyDescent="0.25">
      <c r="B9" s="396"/>
      <c r="C9" s="352"/>
      <c r="D9" s="52" t="s">
        <v>24</v>
      </c>
      <c r="E9" s="57">
        <f>173+12.634+0.775+N11</f>
        <v>187.03200000000001</v>
      </c>
      <c r="F9" s="58">
        <f>E9*100/E24</f>
        <v>0.43160227361008985</v>
      </c>
      <c r="K9" s="382"/>
      <c r="L9" s="67" t="s">
        <v>34</v>
      </c>
      <c r="M9" s="65">
        <v>70.129911000000007</v>
      </c>
      <c r="N9" s="68">
        <v>8.5960000000000001</v>
      </c>
    </row>
    <row r="10" spans="2:14" ht="25.5" x14ac:dyDescent="0.25">
      <c r="B10" s="396"/>
      <c r="C10" s="352"/>
      <c r="D10" s="52" t="s">
        <v>26</v>
      </c>
      <c r="E10" s="57">
        <f>126+61.006+N12</f>
        <v>187.33600000000001</v>
      </c>
      <c r="F10" s="58">
        <f>E10*100/E24</f>
        <v>0.43230379576232836</v>
      </c>
      <c r="K10" s="386" t="s">
        <v>35</v>
      </c>
      <c r="L10" s="67" t="s">
        <v>36</v>
      </c>
      <c r="M10" s="65">
        <v>17.58342</v>
      </c>
      <c r="N10" s="70">
        <v>0.21440000000000001</v>
      </c>
    </row>
    <row r="11" spans="2:14" ht="25.5" x14ac:dyDescent="0.25">
      <c r="B11" s="396"/>
      <c r="C11" s="353"/>
      <c r="D11" s="52" t="s">
        <v>29</v>
      </c>
      <c r="E11" s="57">
        <f>243+21.017+0.083+N13</f>
        <v>267.22890000000001</v>
      </c>
      <c r="F11" s="58">
        <f>E11*100/E24</f>
        <v>0.61666774035632055</v>
      </c>
      <c r="K11" s="386"/>
      <c r="L11" s="67" t="s">
        <v>30</v>
      </c>
      <c r="M11" s="65">
        <v>12.634422000000001</v>
      </c>
      <c r="N11" s="68">
        <v>0.623</v>
      </c>
    </row>
    <row r="12" spans="2:14" ht="25.5" x14ac:dyDescent="0.25">
      <c r="B12" s="396"/>
      <c r="C12" s="71"/>
      <c r="D12" s="52" t="s">
        <v>37</v>
      </c>
      <c r="E12" s="57">
        <f>0+22.309+0+N14</f>
        <v>22.309000000000001</v>
      </c>
      <c r="F12" s="58">
        <f>E12*100/E24</f>
        <v>5.1481110836474477E-2</v>
      </c>
      <c r="K12" s="386"/>
      <c r="L12" s="67" t="s">
        <v>33</v>
      </c>
      <c r="M12" s="65">
        <v>61.006176000000004</v>
      </c>
      <c r="N12" s="72">
        <v>0.33</v>
      </c>
    </row>
    <row r="13" spans="2:14" ht="25.5" x14ac:dyDescent="0.25">
      <c r="B13" s="73"/>
      <c r="C13" s="74" t="s">
        <v>38</v>
      </c>
      <c r="D13" s="75"/>
      <c r="E13" s="76">
        <f>SUM(E4:E12)</f>
        <v>31211.600765999996</v>
      </c>
      <c r="F13" s="77">
        <f>SUM(F4:F12)</f>
        <v>72.025096526883218</v>
      </c>
      <c r="K13" s="386"/>
      <c r="L13" s="67" t="s">
        <v>34</v>
      </c>
      <c r="M13" s="65">
        <v>21.017002000000002</v>
      </c>
      <c r="N13" s="78">
        <v>3.1288999999999998</v>
      </c>
    </row>
    <row r="14" spans="2:14" ht="25.5" x14ac:dyDescent="0.25">
      <c r="B14" s="357" t="s">
        <v>39</v>
      </c>
      <c r="C14" s="402" t="s">
        <v>40</v>
      </c>
      <c r="D14" s="52" t="s">
        <v>24</v>
      </c>
      <c r="E14" s="57">
        <f>22+0+0+N16</f>
        <v>25.649000000000001</v>
      </c>
      <c r="F14" s="79">
        <f>E14*100/E24</f>
        <v>5.9188623956463036E-2</v>
      </c>
      <c r="K14" s="80"/>
      <c r="L14" s="67" t="s">
        <v>41</v>
      </c>
      <c r="M14" s="65">
        <v>22.309462</v>
      </c>
      <c r="N14" s="69">
        <v>0</v>
      </c>
    </row>
    <row r="15" spans="2:14" ht="25.5" x14ac:dyDescent="0.25">
      <c r="B15" s="358"/>
      <c r="C15" s="402"/>
      <c r="D15" s="52" t="s">
        <v>42</v>
      </c>
      <c r="E15" s="57">
        <f>6075+431.912+41.81+N17</f>
        <v>6617.4720000000007</v>
      </c>
      <c r="F15" s="79">
        <f>E15*100/E24</f>
        <v>15.270734209927225</v>
      </c>
      <c r="K15" s="81" t="s">
        <v>43</v>
      </c>
      <c r="L15" s="82"/>
      <c r="M15" s="83">
        <f>SUM(M6:M14)</f>
        <v>7261.2794439999998</v>
      </c>
      <c r="N15" s="84">
        <v>1525.4253000000001</v>
      </c>
    </row>
    <row r="16" spans="2:14" ht="25.5" x14ac:dyDescent="0.25">
      <c r="B16" s="358"/>
      <c r="C16" s="402"/>
      <c r="D16" s="52" t="s">
        <v>44</v>
      </c>
      <c r="E16" s="57">
        <f>2634+353.032+2.886+N18</f>
        <v>3128.5080000000003</v>
      </c>
      <c r="F16" s="79">
        <f>E16*100/E24</f>
        <v>7.2194660047871766</v>
      </c>
      <c r="K16" s="392" t="s">
        <v>45</v>
      </c>
      <c r="L16" s="67" t="s">
        <v>30</v>
      </c>
      <c r="M16" s="85"/>
      <c r="N16" s="68">
        <v>3.649</v>
      </c>
    </row>
    <row r="17" spans="2:14" ht="25.5" x14ac:dyDescent="0.25">
      <c r="B17" s="358"/>
      <c r="C17" s="402"/>
      <c r="D17" s="52" t="s">
        <v>46</v>
      </c>
      <c r="E17" s="57">
        <f>1019+288.681+0.324+N19</f>
        <v>1334.633</v>
      </c>
      <c r="F17" s="79">
        <f>E17*100/E24</f>
        <v>3.0798507059490094</v>
      </c>
      <c r="K17" s="392"/>
      <c r="L17" s="67" t="s">
        <v>47</v>
      </c>
      <c r="M17" s="65">
        <v>431.91238699999997</v>
      </c>
      <c r="N17" s="72">
        <v>68.75</v>
      </c>
    </row>
    <row r="18" spans="2:14" ht="25.5" x14ac:dyDescent="0.25">
      <c r="B18" s="358"/>
      <c r="C18" s="402"/>
      <c r="D18" s="52" t="s">
        <v>48</v>
      </c>
      <c r="E18" s="57">
        <f>845+145.069+0.088+N20</f>
        <v>990.47599999999989</v>
      </c>
      <c r="F18" s="79">
        <f>E18*100/E24</f>
        <v>2.2856607080939484</v>
      </c>
      <c r="K18" s="392"/>
      <c r="L18" s="86" t="s">
        <v>49</v>
      </c>
      <c r="M18" s="65">
        <f>353.032241</f>
        <v>353.032241</v>
      </c>
      <c r="N18" s="72">
        <v>138.59</v>
      </c>
    </row>
    <row r="19" spans="2:14" ht="25.5" x14ac:dyDescent="0.25">
      <c r="B19" s="358"/>
      <c r="C19" s="403" t="s">
        <v>31</v>
      </c>
      <c r="D19" s="52" t="s">
        <v>42</v>
      </c>
      <c r="E19" s="57">
        <f>14+0.282+1.351+N21</f>
        <v>15.632999999999999</v>
      </c>
      <c r="F19" s="79">
        <f>E19*100/E24</f>
        <v>3.6075315151132076E-2</v>
      </c>
      <c r="K19" s="392"/>
      <c r="L19" s="67" t="s">
        <v>50</v>
      </c>
      <c r="M19" s="65">
        <f>288.681026</f>
        <v>288.68102599999997</v>
      </c>
      <c r="N19" s="68">
        <v>26.628</v>
      </c>
    </row>
    <row r="20" spans="2:14" ht="25.5" x14ac:dyDescent="0.25">
      <c r="B20" s="358"/>
      <c r="C20" s="403"/>
      <c r="D20" s="52" t="s">
        <v>44</v>
      </c>
      <c r="E20" s="57">
        <f>9+0.12+0.015+N22</f>
        <v>9.1349999999999998</v>
      </c>
      <c r="F20" s="79">
        <f>E20*100/E24</f>
        <v>2.1080279147034576E-2</v>
      </c>
      <c r="K20" s="392"/>
      <c r="L20" s="87" t="s">
        <v>51</v>
      </c>
      <c r="M20" s="65">
        <v>145.06863100000001</v>
      </c>
      <c r="N20" s="68">
        <v>0.31900000000000001</v>
      </c>
    </row>
    <row r="21" spans="2:14" ht="25.5" x14ac:dyDescent="0.25">
      <c r="B21" s="358"/>
      <c r="C21" s="403"/>
      <c r="D21" s="52" t="s">
        <v>46</v>
      </c>
      <c r="E21" s="57">
        <f>1+0.228+0.006+N23</f>
        <v>1.234</v>
      </c>
      <c r="F21" s="79">
        <f>E21*100/E24</f>
        <v>2.8476261048101443E-3</v>
      </c>
      <c r="K21" s="386" t="s">
        <v>35</v>
      </c>
      <c r="L21" s="67" t="s">
        <v>47</v>
      </c>
      <c r="M21" s="65">
        <v>0.28247</v>
      </c>
      <c r="N21" s="69">
        <v>0</v>
      </c>
    </row>
    <row r="22" spans="2:14" ht="25.5" x14ac:dyDescent="0.25">
      <c r="B22" s="410"/>
      <c r="C22" s="88"/>
      <c r="D22" s="52" t="s">
        <v>52</v>
      </c>
      <c r="E22" s="57"/>
      <c r="F22" s="79">
        <f>E22*100/E24</f>
        <v>0</v>
      </c>
      <c r="K22" s="386"/>
      <c r="L22" s="67" t="s">
        <v>49</v>
      </c>
      <c r="M22" s="65">
        <v>0.119601</v>
      </c>
      <c r="N22" s="69">
        <v>0</v>
      </c>
    </row>
    <row r="23" spans="2:14" ht="25.5" x14ac:dyDescent="0.25">
      <c r="B23" s="411"/>
      <c r="C23" s="74" t="s">
        <v>38</v>
      </c>
      <c r="D23" s="75"/>
      <c r="E23" s="76">
        <f>SUM(E14:E22)</f>
        <v>12122.740000000002</v>
      </c>
      <c r="F23" s="77">
        <f>SUM(F14:F22)</f>
        <v>27.9749034731168</v>
      </c>
      <c r="K23" s="386"/>
      <c r="L23" s="67" t="s">
        <v>50</v>
      </c>
      <c r="M23" s="65">
        <v>0.22828300000000001</v>
      </c>
      <c r="N23" s="69">
        <v>0</v>
      </c>
    </row>
    <row r="24" spans="2:14" ht="25.5" x14ac:dyDescent="0.25">
      <c r="B24" s="89"/>
      <c r="C24" s="74" t="s">
        <v>53</v>
      </c>
      <c r="D24" s="75"/>
      <c r="E24" s="90">
        <f>E13+E23</f>
        <v>43334.340765999994</v>
      </c>
      <c r="F24" s="91">
        <f>F13+F23</f>
        <v>100.00000000000001</v>
      </c>
      <c r="K24" s="80"/>
      <c r="L24" s="67" t="s">
        <v>41</v>
      </c>
      <c r="M24" s="85"/>
      <c r="N24" s="69">
        <v>0</v>
      </c>
    </row>
    <row r="25" spans="2:14" ht="25.5" x14ac:dyDescent="0.25">
      <c r="K25" s="81" t="s">
        <v>43</v>
      </c>
      <c r="L25" s="82"/>
      <c r="M25" s="92">
        <f>SUM(M16:M24)</f>
        <v>1219.3246390000002</v>
      </c>
      <c r="N25" s="93">
        <v>238</v>
      </c>
    </row>
    <row r="26" spans="2:14" ht="25.5" x14ac:dyDescent="0.25">
      <c r="C26" s="94"/>
      <c r="D26" s="95"/>
      <c r="E26" s="96"/>
      <c r="K26" s="80"/>
      <c r="L26" s="67" t="s">
        <v>54</v>
      </c>
      <c r="M26" s="97"/>
      <c r="N26" s="98"/>
    </row>
    <row r="27" spans="2:14" ht="15" customHeight="1" x14ac:dyDescent="0.25">
      <c r="B27" s="48">
        <f>[3]i.Verkehr!B2</f>
        <v>2010</v>
      </c>
      <c r="C27" s="48" t="str">
        <f>[3]i.Verkehr!C2</f>
        <v>Typengruppe</v>
      </c>
      <c r="D27" s="48" t="str">
        <f>[3]i.Verkehr!D2</f>
        <v>System</v>
      </c>
      <c r="E27" s="341" t="str">
        <f>[3]i.Verkehr!E2</f>
        <v xml:space="preserve"> § 15 (1) Nr. 1  BattG
Masse der in Verkehr gebrachten Batterien</v>
      </c>
      <c r="F27" s="409"/>
      <c r="K27" s="99" t="s">
        <v>55</v>
      </c>
      <c r="L27" s="99" t="s">
        <v>56</v>
      </c>
      <c r="M27" s="100">
        <f>M15+M25</f>
        <v>8480.6040830000002</v>
      </c>
      <c r="N27" s="93">
        <v>1763</v>
      </c>
    </row>
    <row r="28" spans="2:14" ht="38.25" x14ac:dyDescent="0.25">
      <c r="B28" s="101"/>
      <c r="C28" s="101"/>
      <c r="D28" s="102"/>
      <c r="E28" s="103" t="str">
        <f>[3]i.Verkehr!E3</f>
        <v>[t]</v>
      </c>
      <c r="F28" s="103" t="str">
        <f>[3]i.Verkehr!F3</f>
        <v>[%]</v>
      </c>
      <c r="K28" s="67" t="s">
        <v>55</v>
      </c>
      <c r="L28" s="67" t="s">
        <v>57</v>
      </c>
      <c r="M28" s="85">
        <v>6340</v>
      </c>
      <c r="N28" s="69">
        <v>2036</v>
      </c>
    </row>
    <row r="29" spans="2:14" ht="15" customHeight="1" x14ac:dyDescent="0.25">
      <c r="B29" s="363" t="str">
        <f>[3]i.Verkehr!B4</f>
        <v>Primärbatterien</v>
      </c>
      <c r="C29" s="365" t="str">
        <f>[3]i.Verkehr!C4</f>
        <v>Rundzellen / Blockbatterien</v>
      </c>
      <c r="D29" s="102" t="str">
        <f>[3]i.Verkehr!D4</f>
        <v>ZnC</v>
      </c>
      <c r="E29" s="104">
        <f>[3]i.Verkehr!E4</f>
        <v>5341.6236666666673</v>
      </c>
      <c r="F29" s="105">
        <f>[3]i.Verkehr!F4</f>
        <v>12.559403744212309</v>
      </c>
      <c r="K29" s="67" t="s">
        <v>55</v>
      </c>
      <c r="L29" s="67" t="s">
        <v>58</v>
      </c>
      <c r="M29" s="85">
        <v>5218</v>
      </c>
      <c r="N29" s="69"/>
    </row>
    <row r="30" spans="2:14" x14ac:dyDescent="0.25">
      <c r="B30" s="404"/>
      <c r="C30" s="366"/>
      <c r="D30" s="102" t="str">
        <f>[3]i.Verkehr!D5</f>
        <v>AlMn</v>
      </c>
      <c r="E30" s="104">
        <f>[3]i.Verkehr!E5</f>
        <v>25902.377666666667</v>
      </c>
      <c r="F30" s="105">
        <f>[3]i.Verkehr!F5</f>
        <v>60.902534388713889</v>
      </c>
      <c r="M30" s="106" t="e">
        <f>IF(#REF!=2010,AVERAGE(M27:M28),AVERAGE(M27:M29))</f>
        <v>#REF!</v>
      </c>
      <c r="N30" s="107">
        <v>1900</v>
      </c>
    </row>
    <row r="31" spans="2:14" x14ac:dyDescent="0.25">
      <c r="B31" s="404"/>
      <c r="C31" s="366"/>
      <c r="D31" s="102" t="str">
        <f>[3]i.Verkehr!D6</f>
        <v>Zn-Luft</v>
      </c>
      <c r="E31" s="104">
        <f>[3]i.Verkehr!E6</f>
        <v>71.167666666666662</v>
      </c>
      <c r="F31" s="105">
        <f>[3]i.Verkehr!F6</f>
        <v>0.16733179178793767</v>
      </c>
    </row>
    <row r="32" spans="2:14" x14ac:dyDescent="0.25">
      <c r="B32" s="404"/>
      <c r="C32" s="367"/>
      <c r="D32" s="102" t="str">
        <f>[3]i.Verkehr!D7</f>
        <v>Li</v>
      </c>
      <c r="E32" s="104">
        <f>[3]i.Verkehr!E7</f>
        <v>295.79999999999995</v>
      </c>
      <c r="F32" s="105">
        <f>[3]i.Verkehr!F7</f>
        <v>0.69549482692334941</v>
      </c>
    </row>
    <row r="33" spans="2:28" x14ac:dyDescent="0.25">
      <c r="B33" s="404"/>
      <c r="C33" s="368" t="str">
        <f>[3]i.Verkehr!C8</f>
        <v>Knopfzellen</v>
      </c>
      <c r="D33" s="102" t="str">
        <f>[3]i.Verkehr!D8</f>
        <v>AgO</v>
      </c>
      <c r="E33" s="104">
        <f>[3]i.Verkehr!E8</f>
        <v>30.125</v>
      </c>
      <c r="F33" s="105">
        <f>[3]i.Verkehr!F8</f>
        <v>7.0830904871757625E-2</v>
      </c>
    </row>
    <row r="34" spans="2:28" x14ac:dyDescent="0.25">
      <c r="B34" s="404"/>
      <c r="C34" s="369"/>
      <c r="D34" s="102" t="str">
        <f>[3]i.Verkehr!D9</f>
        <v>AlMn</v>
      </c>
      <c r="E34" s="104">
        <f>[3]i.Verkehr!E9</f>
        <v>401.02610000000004</v>
      </c>
      <c r="F34" s="105">
        <f>[3]i.Verkehr!F9</f>
        <v>0.94290594324288668</v>
      </c>
    </row>
    <row r="35" spans="2:28" x14ac:dyDescent="0.25">
      <c r="B35" s="404"/>
      <c r="C35" s="369"/>
      <c r="D35" s="102" t="str">
        <f>[3]i.Verkehr!D10</f>
        <v>Zn-Luft</v>
      </c>
      <c r="E35" s="104">
        <f>[3]i.Verkehr!E10</f>
        <v>113.824</v>
      </c>
      <c r="F35" s="105">
        <f>[3]i.Verkehr!F10</f>
        <v>0.26762678559744196</v>
      </c>
    </row>
    <row r="36" spans="2:28" x14ac:dyDescent="0.25">
      <c r="B36" s="404"/>
      <c r="C36" s="370"/>
      <c r="D36" s="102" t="str">
        <f>[3]i.Verkehr!D11</f>
        <v>Li</v>
      </c>
      <c r="E36" s="104">
        <f>[3]i.Verkehr!E11</f>
        <v>209.13900000000001</v>
      </c>
      <c r="F36" s="105">
        <f>[3]i.Verkehr!F11</f>
        <v>0.49173459299500477</v>
      </c>
      <c r="M36" s="108"/>
      <c r="N36" s="46">
        <f>M36+1</f>
        <v>1</v>
      </c>
    </row>
    <row r="37" spans="2:28" x14ac:dyDescent="0.25">
      <c r="B37" s="404"/>
      <c r="C37" s="71"/>
      <c r="D37" s="102" t="str">
        <f>[3]i.Verkehr!D12</f>
        <v>Sonstige (HgO)</v>
      </c>
      <c r="E37" s="104">
        <f>[3]i.Verkehr!E12</f>
        <v>1.8879999999999999</v>
      </c>
      <c r="F37" s="105">
        <f>[3]i.Verkehr!F12</f>
        <v>4.4391285775229336E-3</v>
      </c>
      <c r="M37" s="108"/>
      <c r="N37" s="64">
        <v>1218</v>
      </c>
    </row>
    <row r="38" spans="2:28" x14ac:dyDescent="0.25">
      <c r="B38" s="109"/>
      <c r="C38" s="110" t="str">
        <f>[3]i.Verkehr!C13</f>
        <v>Summe</v>
      </c>
      <c r="D38" s="111"/>
      <c r="E38" s="112">
        <f>[3]i.Verkehr!E13</f>
        <v>32366.971099999999</v>
      </c>
      <c r="F38" s="113">
        <f>[3]i.Verkehr!F13</f>
        <v>76.102302106922096</v>
      </c>
    </row>
    <row r="39" spans="2:28" ht="15" customHeight="1" x14ac:dyDescent="0.25">
      <c r="B39" s="371" t="str">
        <f>[3]i.Verkehr!B14</f>
        <v>Sekundärbatterien</v>
      </c>
      <c r="C39" s="407" t="str">
        <f>[3]i.Verkehr!C14</f>
        <v>Rund-/Prismatische Zellen / Blockbatterien</v>
      </c>
      <c r="D39" s="102" t="str">
        <f>[3]i.Verkehr!D14</f>
        <v>AlMn</v>
      </c>
      <c r="E39" s="104">
        <f>[3]i.Verkehr!E14</f>
        <v>32.404000000000003</v>
      </c>
      <c r="F39" s="105">
        <f>[3]i.Verkehr!F14</f>
        <v>7.6189365691765459E-2</v>
      </c>
      <c r="G39" s="64"/>
    </row>
    <row r="40" spans="2:28" x14ac:dyDescent="0.25">
      <c r="B40" s="372"/>
      <c r="C40" s="407"/>
      <c r="D40" s="102" t="str">
        <f>[3]i.Verkehr!D15</f>
        <v>Li-Ion</v>
      </c>
      <c r="E40" s="104">
        <f>[3]i.Verkehr!E15</f>
        <v>5368.8078000000005</v>
      </c>
      <c r="F40" s="105">
        <f>[3]i.Verkehr!F15</f>
        <v>12.623319985279679</v>
      </c>
    </row>
    <row r="41" spans="2:28" x14ac:dyDescent="0.25">
      <c r="B41" s="372"/>
      <c r="C41" s="407"/>
      <c r="D41" s="102" t="str">
        <f>[3]i.Verkehr!D16</f>
        <v>NiMH</v>
      </c>
      <c r="E41" s="104">
        <f>[3]i.Verkehr!E16</f>
        <v>2731.67</v>
      </c>
      <c r="F41" s="105">
        <f>[3]i.Verkehr!F16</f>
        <v>6.4227936236027929</v>
      </c>
      <c r="O41" s="46" t="s">
        <v>59</v>
      </c>
      <c r="P41" s="46">
        <v>1999</v>
      </c>
      <c r="Q41" s="46">
        <f>P41+1</f>
        <v>2000</v>
      </c>
      <c r="R41" s="46">
        <f t="shared" ref="R41:Y41" si="0">Q41+1</f>
        <v>2001</v>
      </c>
      <c r="S41" s="46">
        <f t="shared" si="0"/>
        <v>2002</v>
      </c>
      <c r="T41" s="46">
        <f t="shared" si="0"/>
        <v>2003</v>
      </c>
      <c r="U41" s="46">
        <f t="shared" si="0"/>
        <v>2004</v>
      </c>
      <c r="V41" s="46">
        <f t="shared" si="0"/>
        <v>2005</v>
      </c>
      <c r="W41" s="46">
        <f t="shared" si="0"/>
        <v>2006</v>
      </c>
      <c r="X41" s="46">
        <f t="shared" si="0"/>
        <v>2007</v>
      </c>
      <c r="Y41" s="46">
        <f t="shared" si="0"/>
        <v>2008</v>
      </c>
      <c r="Z41" s="46">
        <f>Y41+1</f>
        <v>2009</v>
      </c>
      <c r="AA41" s="46">
        <v>2010</v>
      </c>
      <c r="AB41" s="46">
        <v>2011</v>
      </c>
    </row>
    <row r="42" spans="2:28" x14ac:dyDescent="0.25">
      <c r="B42" s="372"/>
      <c r="C42" s="407"/>
      <c r="D42" s="102" t="str">
        <f>[3]i.Verkehr!D17</f>
        <v>NiCd</v>
      </c>
      <c r="E42" s="104">
        <f>[3]i.Verkehr!E17</f>
        <v>1188.798</v>
      </c>
      <c r="F42" s="105">
        <f>[3]i.Verkehr!F17</f>
        <v>2.7951415120244221</v>
      </c>
      <c r="O42" s="46" t="s">
        <v>60</v>
      </c>
      <c r="P42" s="46">
        <v>394</v>
      </c>
      <c r="Q42" s="46">
        <v>432</v>
      </c>
      <c r="R42" s="46">
        <v>466</v>
      </c>
      <c r="S42" s="46">
        <v>532</v>
      </c>
      <c r="T42" s="46">
        <v>587</v>
      </c>
      <c r="U42" s="46">
        <v>616</v>
      </c>
      <c r="V42" s="46">
        <v>736</v>
      </c>
      <c r="W42" s="46">
        <v>808</v>
      </c>
      <c r="X42" s="46">
        <v>901</v>
      </c>
      <c r="Y42" s="46">
        <v>991</v>
      </c>
      <c r="Z42" s="64">
        <v>1218</v>
      </c>
      <c r="AA42" s="46">
        <v>2394</v>
      </c>
      <c r="AB42" s="46">
        <v>2536</v>
      </c>
    </row>
    <row r="43" spans="2:28" x14ac:dyDescent="0.25">
      <c r="B43" s="372"/>
      <c r="C43" s="407"/>
      <c r="D43" s="102" t="str">
        <f>[3]i.Verkehr!D18</f>
        <v>Pb</v>
      </c>
      <c r="E43" s="104">
        <f>[3]i.Verkehr!E18</f>
        <v>811.90600000000006</v>
      </c>
      <c r="F43" s="105">
        <f>[3]i.Verkehr!F18</f>
        <v>1.9089804697364066</v>
      </c>
    </row>
    <row r="44" spans="2:28" x14ac:dyDescent="0.25">
      <c r="B44" s="372"/>
      <c r="C44" s="408" t="str">
        <f>[3]i.Verkehr!C19</f>
        <v>Knopfzellen</v>
      </c>
      <c r="D44" s="102" t="str">
        <f>[3]i.Verkehr!D19</f>
        <v>Li-Ion</v>
      </c>
      <c r="E44" s="104">
        <f>[3]i.Verkehr!E19</f>
        <v>17.858000000000001</v>
      </c>
      <c r="F44" s="105">
        <f>[3]i.Verkehr!F19</f>
        <v>4.1988325284642247E-2</v>
      </c>
      <c r="M44" s="114"/>
    </row>
    <row r="45" spans="2:28" x14ac:dyDescent="0.25">
      <c r="B45" s="372"/>
      <c r="C45" s="408"/>
      <c r="D45" s="102" t="str">
        <f>[3]i.Verkehr!D20</f>
        <v>NiMH</v>
      </c>
      <c r="E45" s="104">
        <f>[3]i.Verkehr!E20</f>
        <v>10.123999999999999</v>
      </c>
      <c r="F45" s="105">
        <f>[3]i.Verkehr!F20</f>
        <v>2.3803886503624035E-2</v>
      </c>
    </row>
    <row r="46" spans="2:28" x14ac:dyDescent="0.25">
      <c r="B46" s="372"/>
      <c r="C46" s="408"/>
      <c r="D46" s="102" t="str">
        <f>[3]i.Verkehr!D21</f>
        <v>NiCd</v>
      </c>
      <c r="E46" s="104">
        <f>[3]i.Verkehr!E21</f>
        <v>2.331</v>
      </c>
      <c r="F46" s="105">
        <f>[3]i.Verkehr!F21</f>
        <v>5.4807249545582408E-3</v>
      </c>
    </row>
    <row r="47" spans="2:28" x14ac:dyDescent="0.25">
      <c r="B47" s="405"/>
      <c r="C47" s="88"/>
      <c r="D47" s="102" t="str">
        <f>[3]i.Verkehr!D22</f>
        <v>Sonstige</v>
      </c>
      <c r="E47" s="104">
        <f>[3]i.Verkehr!E22</f>
        <v>0</v>
      </c>
      <c r="F47" s="105">
        <f>[3]i.Verkehr!F22</f>
        <v>0</v>
      </c>
      <c r="M47" s="114"/>
    </row>
    <row r="48" spans="2:28" x14ac:dyDescent="0.25">
      <c r="B48" s="406"/>
      <c r="C48" s="110" t="str">
        <f>[3]i.Verkehr!C23</f>
        <v>Summe</v>
      </c>
      <c r="D48" s="111"/>
      <c r="E48" s="112">
        <f>[3]i.Verkehr!E23</f>
        <v>10163.898800000003</v>
      </c>
      <c r="F48" s="113">
        <f>[3]i.Verkehr!F23</f>
        <v>23.897697893077893</v>
      </c>
    </row>
    <row r="49" spans="2:13" x14ac:dyDescent="0.25">
      <c r="B49" s="115"/>
      <c r="C49" s="110" t="str">
        <f>[3]i.Verkehr!C24</f>
        <v>Gesamt</v>
      </c>
      <c r="D49" s="111"/>
      <c r="E49" s="116">
        <f>[3]i.Verkehr!E24</f>
        <v>42530.869900000005</v>
      </c>
      <c r="F49" s="113">
        <f>[3]i.Verkehr!F24</f>
        <v>99.999999999999986</v>
      </c>
      <c r="M49" s="117"/>
    </row>
    <row r="50" spans="2:13" x14ac:dyDescent="0.25">
      <c r="M50" s="117"/>
    </row>
    <row r="52" spans="2:13" x14ac:dyDescent="0.25">
      <c r="B52" s="48">
        <v>2009</v>
      </c>
      <c r="C52" s="48" t="s">
        <v>10</v>
      </c>
      <c r="D52" s="48" t="s">
        <v>11</v>
      </c>
      <c r="E52" s="341" t="s">
        <v>12</v>
      </c>
      <c r="F52" s="395"/>
    </row>
    <row r="53" spans="2:13" x14ac:dyDescent="0.25">
      <c r="B53" s="51"/>
      <c r="C53" s="51"/>
      <c r="D53" s="52"/>
      <c r="E53" s="53" t="s">
        <v>15</v>
      </c>
      <c r="F53" s="53" t="s">
        <v>16</v>
      </c>
    </row>
    <row r="54" spans="2:13" x14ac:dyDescent="0.25">
      <c r="B54" s="343" t="s">
        <v>18</v>
      </c>
      <c r="C54" s="397" t="s">
        <v>19</v>
      </c>
      <c r="D54" s="52" t="s">
        <v>20</v>
      </c>
      <c r="E54" s="118">
        <f>1737+1449.3+(92.68/3)</f>
        <v>3217.1933333333336</v>
      </c>
      <c r="F54" s="119">
        <f>E54*100/E74</f>
        <v>8.6257590669855766</v>
      </c>
    </row>
    <row r="55" spans="2:13" x14ac:dyDescent="0.25">
      <c r="B55" s="396"/>
      <c r="C55" s="398"/>
      <c r="D55" s="52" t="s">
        <v>24</v>
      </c>
      <c r="E55" s="118">
        <f>23254+3079.4+(92.68/3)</f>
        <v>26364.293333333335</v>
      </c>
      <c r="F55" s="119">
        <f>E55*100/E74</f>
        <v>70.686470691223832</v>
      </c>
    </row>
    <row r="56" spans="2:13" x14ac:dyDescent="0.25">
      <c r="B56" s="396"/>
      <c r="C56" s="398"/>
      <c r="D56" s="52" t="s">
        <v>26</v>
      </c>
      <c r="E56" s="118">
        <f>19+1+(92.68/3)</f>
        <v>50.893333333333331</v>
      </c>
      <c r="F56" s="119">
        <f>E56*100/E74</f>
        <v>0.13645236265433819</v>
      </c>
    </row>
    <row r="57" spans="2:13" x14ac:dyDescent="0.25">
      <c r="B57" s="396"/>
      <c r="C57" s="399"/>
      <c r="D57" s="52" t="s">
        <v>29</v>
      </c>
      <c r="E57" s="118">
        <f>224+42+0.131</f>
        <v>266.13099999999997</v>
      </c>
      <c r="F57" s="119">
        <f>E57*100/E74</f>
        <v>0.71353557228638353</v>
      </c>
    </row>
    <row r="58" spans="2:13" x14ac:dyDescent="0.25">
      <c r="B58" s="396"/>
      <c r="C58" s="351" t="s">
        <v>31</v>
      </c>
      <c r="D58" s="52" t="s">
        <v>32</v>
      </c>
      <c r="E58" s="118">
        <f>28+3+(1.242/4)</f>
        <v>31.310500000000001</v>
      </c>
      <c r="F58" s="119">
        <f>E58*100/E74</f>
        <v>8.3947963732420555E-2</v>
      </c>
    </row>
    <row r="59" spans="2:13" x14ac:dyDescent="0.25">
      <c r="B59" s="396"/>
      <c r="C59" s="352"/>
      <c r="D59" s="52" t="s">
        <v>24</v>
      </c>
      <c r="E59" s="118">
        <f>114+19+(1.242/4)</f>
        <v>133.31049999999999</v>
      </c>
      <c r="F59" s="119">
        <f>E59*100/E74</f>
        <v>0.35742466645856341</v>
      </c>
    </row>
    <row r="60" spans="2:13" x14ac:dyDescent="0.25">
      <c r="B60" s="396"/>
      <c r="C60" s="352"/>
      <c r="D60" s="52" t="s">
        <v>26</v>
      </c>
      <c r="E60" s="118">
        <f>101+(1.242/4)</f>
        <v>101.3105</v>
      </c>
      <c r="F60" s="119">
        <f>E60*100/E74</f>
        <v>0.27162805383859706</v>
      </c>
    </row>
    <row r="61" spans="2:13" x14ac:dyDescent="0.25">
      <c r="B61" s="396"/>
      <c r="C61" s="353"/>
      <c r="D61" s="52" t="s">
        <v>29</v>
      </c>
      <c r="E61" s="118">
        <f>187+11+(1.242/4)</f>
        <v>198.31049999999999</v>
      </c>
      <c r="F61" s="119">
        <f>E61*100/E74</f>
        <v>0.53169903584287015</v>
      </c>
    </row>
    <row r="62" spans="2:13" x14ac:dyDescent="0.25">
      <c r="B62" s="396"/>
      <c r="C62" s="71"/>
      <c r="D62" s="52" t="s">
        <v>61</v>
      </c>
      <c r="E62" s="118">
        <f>0+0.095</f>
        <v>9.5000000000000001E-2</v>
      </c>
      <c r="F62" s="119">
        <f>E62*100/E74</f>
        <v>2.5470869371552521E-4</v>
      </c>
    </row>
    <row r="63" spans="2:13" x14ac:dyDescent="0.25">
      <c r="B63" s="73"/>
      <c r="C63" s="74" t="s">
        <v>38</v>
      </c>
      <c r="D63" s="75"/>
      <c r="E63" s="120">
        <f>SUM(E54:E62)</f>
        <v>30362.848000000002</v>
      </c>
      <c r="F63" s="91">
        <f>SUM(F54:F62)</f>
        <v>81.407172121716329</v>
      </c>
    </row>
    <row r="64" spans="2:13" x14ac:dyDescent="0.25">
      <c r="B64" s="400" t="s">
        <v>39</v>
      </c>
      <c r="C64" s="402" t="s">
        <v>40</v>
      </c>
      <c r="D64" s="52" t="s">
        <v>24</v>
      </c>
      <c r="E64" s="121">
        <v>18</v>
      </c>
      <c r="F64" s="85">
        <f>E64*100/E74</f>
        <v>4.8260594598731096E-2</v>
      </c>
    </row>
    <row r="65" spans="2:8" x14ac:dyDescent="0.25">
      <c r="B65" s="400"/>
      <c r="C65" s="402"/>
      <c r="D65" s="52" t="s">
        <v>42</v>
      </c>
      <c r="E65" s="121">
        <f>3117+83+10.56</f>
        <v>3210.56</v>
      </c>
      <c r="F65" s="85">
        <f>E65*100/E74</f>
        <v>8.6079741441612274</v>
      </c>
    </row>
    <row r="66" spans="2:8" x14ac:dyDescent="0.25">
      <c r="B66" s="400"/>
      <c r="C66" s="402"/>
      <c r="D66" s="52" t="s">
        <v>44</v>
      </c>
      <c r="E66" s="121">
        <f>1821+212+1</f>
        <v>2034</v>
      </c>
      <c r="F66" s="85">
        <f>E66*100/E74</f>
        <v>5.4534471896566137</v>
      </c>
    </row>
    <row r="67" spans="2:8" x14ac:dyDescent="0.25">
      <c r="B67" s="400"/>
      <c r="C67" s="402"/>
      <c r="D67" s="52" t="s">
        <v>46</v>
      </c>
      <c r="E67" s="121">
        <f>692+110+0.043</f>
        <v>802.04300000000001</v>
      </c>
      <c r="F67" s="85">
        <f>E67*100/E74</f>
        <v>2.1503928929861158</v>
      </c>
    </row>
    <row r="68" spans="2:8" x14ac:dyDescent="0.25">
      <c r="B68" s="400"/>
      <c r="C68" s="402"/>
      <c r="D68" s="52" t="s">
        <v>48</v>
      </c>
      <c r="E68" s="121">
        <f>645+207+0.001</f>
        <v>852.00099999999998</v>
      </c>
      <c r="F68" s="85">
        <f>E68*100/E74</f>
        <v>2.2843374921507493</v>
      </c>
    </row>
    <row r="69" spans="2:8" x14ac:dyDescent="0.25">
      <c r="B69" s="400"/>
      <c r="C69" s="403" t="s">
        <v>31</v>
      </c>
      <c r="D69" s="52" t="s">
        <v>42</v>
      </c>
      <c r="E69" s="121">
        <f>9+0.038+(0.872/3)</f>
        <v>9.3286666666666669</v>
      </c>
      <c r="F69" s="85">
        <f>E69*100/E74</f>
        <v>2.5011500008149785E-2</v>
      </c>
    </row>
    <row r="70" spans="2:8" x14ac:dyDescent="0.25">
      <c r="B70" s="400"/>
      <c r="C70" s="403"/>
      <c r="D70" s="52" t="s">
        <v>44</v>
      </c>
      <c r="E70" s="121">
        <f>7+0.0218+(0.872/3)</f>
        <v>7.3124666666666664</v>
      </c>
      <c r="F70" s="85">
        <f>E70*100/E74</f>
        <v>1.9605777184263026E-2</v>
      </c>
    </row>
    <row r="71" spans="2:8" x14ac:dyDescent="0.25">
      <c r="B71" s="400"/>
      <c r="C71" s="403"/>
      <c r="D71" s="52" t="s">
        <v>46</v>
      </c>
      <c r="E71" s="121">
        <f>1+0.126+(0.872/3)</f>
        <v>1.4166666666666665</v>
      </c>
      <c r="F71" s="85">
        <f>E71*100/E74</f>
        <v>3.7982875378630952E-3</v>
      </c>
    </row>
    <row r="72" spans="2:8" x14ac:dyDescent="0.25">
      <c r="B72" s="401"/>
      <c r="C72" s="88"/>
      <c r="D72" s="52" t="s">
        <v>52</v>
      </c>
      <c r="E72" s="121"/>
      <c r="F72" s="85">
        <f>E72*100/E74</f>
        <v>0</v>
      </c>
    </row>
    <row r="73" spans="2:8" x14ac:dyDescent="0.25">
      <c r="B73" s="89"/>
      <c r="C73" s="74" t="s">
        <v>38</v>
      </c>
      <c r="D73" s="75"/>
      <c r="E73" s="120">
        <f>SUM(E64:E72)</f>
        <v>6934.6617999999989</v>
      </c>
      <c r="F73" s="91">
        <f>SUM(F64:F72)</f>
        <v>18.592827878283714</v>
      </c>
    </row>
    <row r="74" spans="2:8" x14ac:dyDescent="0.25">
      <c r="B74" s="89"/>
      <c r="C74" s="74" t="s">
        <v>53</v>
      </c>
      <c r="D74" s="75"/>
      <c r="E74" s="122">
        <f>E63+E73</f>
        <v>37297.5098</v>
      </c>
      <c r="F74" s="91">
        <f>F63+F73</f>
        <v>100.00000000000004</v>
      </c>
    </row>
    <row r="79" spans="2:8" ht="45" x14ac:dyDescent="0.25">
      <c r="D79" s="46">
        <v>2009</v>
      </c>
      <c r="E79" s="46">
        <v>2010</v>
      </c>
      <c r="F79" s="46">
        <v>2011</v>
      </c>
      <c r="G79" s="47" t="s">
        <v>62</v>
      </c>
    </row>
    <row r="80" spans="2:8" x14ac:dyDescent="0.25">
      <c r="B80" s="46" t="s">
        <v>18</v>
      </c>
      <c r="D80" s="123">
        <f>E63</f>
        <v>30362.848000000002</v>
      </c>
      <c r="E80" s="123">
        <f>E38</f>
        <v>32366.971099999999</v>
      </c>
      <c r="F80" s="123">
        <f>E13</f>
        <v>31211.600765999996</v>
      </c>
      <c r="G80" s="46">
        <f>(100*F80/E80)-100</f>
        <v>-3.5695967053277968</v>
      </c>
      <c r="H80" s="123"/>
    </row>
    <row r="81" spans="1:8" x14ac:dyDescent="0.25">
      <c r="B81" s="46" t="s">
        <v>39</v>
      </c>
      <c r="D81" s="123">
        <f>E73</f>
        <v>6934.6617999999989</v>
      </c>
      <c r="E81" s="123">
        <f>E48</f>
        <v>10163.898800000003</v>
      </c>
      <c r="F81" s="123">
        <f>E23</f>
        <v>12122.740000000002</v>
      </c>
      <c r="G81" s="46">
        <f t="shared" ref="G81:G88" si="1">(100*F81/E81)-100</f>
        <v>19.272537424319879</v>
      </c>
    </row>
    <row r="82" spans="1:8" x14ac:dyDescent="0.25">
      <c r="B82" s="46" t="s">
        <v>24</v>
      </c>
      <c r="D82" s="123">
        <f>E55</f>
        <v>26364.293333333335</v>
      </c>
      <c r="E82" s="123">
        <f>E30</f>
        <v>25902.377666666667</v>
      </c>
      <c r="F82" s="123">
        <f>E5</f>
        <v>24162.112333333331</v>
      </c>
      <c r="G82" s="46">
        <f t="shared" si="1"/>
        <v>-6.7185543957721592</v>
      </c>
    </row>
    <row r="83" spans="1:8" x14ac:dyDescent="0.25">
      <c r="B83" s="46" t="s">
        <v>20</v>
      </c>
      <c r="D83" s="123">
        <f>E54</f>
        <v>3217.1933333333336</v>
      </c>
      <c r="E83" s="123">
        <f>E29</f>
        <v>5341.6236666666673</v>
      </c>
      <c r="F83" s="123">
        <f>E4</f>
        <v>5982.2481993333331</v>
      </c>
      <c r="G83" s="46">
        <f t="shared" si="1"/>
        <v>11.993067513616779</v>
      </c>
    </row>
    <row r="84" spans="1:8" x14ac:dyDescent="0.25">
      <c r="B84" s="46" t="s">
        <v>29</v>
      </c>
      <c r="D84" s="123">
        <f>E57+E61</f>
        <v>464.44149999999996</v>
      </c>
      <c r="E84" s="123">
        <f>E32+E36</f>
        <v>504.93899999999996</v>
      </c>
      <c r="F84" s="123">
        <f>E11+E7</f>
        <v>582.99890000000005</v>
      </c>
      <c r="G84" s="46">
        <f t="shared" si="1"/>
        <v>15.459273298358838</v>
      </c>
    </row>
    <row r="85" spans="1:8" x14ac:dyDescent="0.25">
      <c r="B85" s="46" t="s">
        <v>42</v>
      </c>
      <c r="D85" s="123">
        <f>E65+E69</f>
        <v>3219.8886666666667</v>
      </c>
      <c r="E85" s="123">
        <f>E40+E44</f>
        <v>5386.6658000000007</v>
      </c>
      <c r="F85" s="123">
        <f>E15+E19</f>
        <v>6633.1050000000005</v>
      </c>
      <c r="G85" s="46">
        <f t="shared" si="1"/>
        <v>23.139345307072873</v>
      </c>
    </row>
    <row r="86" spans="1:8" x14ac:dyDescent="0.25">
      <c r="A86" s="124"/>
      <c r="B86" s="124" t="s">
        <v>44</v>
      </c>
      <c r="C86" s="124"/>
      <c r="D86" s="125">
        <f>E66+E70</f>
        <v>2041.3124666666668</v>
      </c>
      <c r="E86" s="125">
        <f>E41+E45</f>
        <v>2741.7939999999999</v>
      </c>
      <c r="F86" s="125">
        <f>E16+E20</f>
        <v>3137.6430000000005</v>
      </c>
      <c r="G86" s="124">
        <f t="shared" si="1"/>
        <v>14.437590862041446</v>
      </c>
      <c r="H86" s="123">
        <f>F86-E86</f>
        <v>395.84900000000061</v>
      </c>
    </row>
    <row r="87" spans="1:8" x14ac:dyDescent="0.25">
      <c r="B87" s="46" t="s">
        <v>46</v>
      </c>
      <c r="D87" s="123">
        <f>E67+E71</f>
        <v>803.45966666666664</v>
      </c>
      <c r="E87" s="123">
        <f>E42+E46</f>
        <v>1191.1289999999999</v>
      </c>
      <c r="F87" s="123">
        <f>E17+E21</f>
        <v>1335.867</v>
      </c>
      <c r="G87" s="46">
        <f t="shared" si="1"/>
        <v>12.151328697395485</v>
      </c>
      <c r="H87" s="123">
        <f>F87-E87</f>
        <v>144.73800000000006</v>
      </c>
    </row>
    <row r="88" spans="1:8" x14ac:dyDescent="0.25">
      <c r="B88" s="46" t="s">
        <v>48</v>
      </c>
      <c r="D88" s="123">
        <f>E68</f>
        <v>852.00099999999998</v>
      </c>
      <c r="E88" s="123">
        <f>E43</f>
        <v>811.90600000000006</v>
      </c>
      <c r="F88" s="123">
        <f>E18</f>
        <v>990.47599999999989</v>
      </c>
      <c r="G88" s="46">
        <f t="shared" si="1"/>
        <v>21.993925405157725</v>
      </c>
    </row>
    <row r="113" spans="1:4" x14ac:dyDescent="0.25">
      <c r="B113" s="48" t="s">
        <v>11</v>
      </c>
      <c r="C113" s="53" t="s">
        <v>16</v>
      </c>
    </row>
    <row r="114" spans="1:4" ht="25.5" x14ac:dyDescent="0.25">
      <c r="B114" s="126" t="s">
        <v>18</v>
      </c>
      <c r="C114" s="52"/>
    </row>
    <row r="115" spans="1:4" x14ac:dyDescent="0.25">
      <c r="A115" s="394"/>
      <c r="B115" s="127" t="s">
        <v>63</v>
      </c>
      <c r="C115" s="128">
        <f>F5</f>
        <v>55.757424495749703</v>
      </c>
      <c r="D115" s="394" t="s">
        <v>18</v>
      </c>
    </row>
    <row r="116" spans="1:4" x14ac:dyDescent="0.25">
      <c r="A116" s="394"/>
      <c r="B116" s="129" t="s">
        <v>64</v>
      </c>
      <c r="C116" s="128">
        <f>F4</f>
        <v>13.804867210595688</v>
      </c>
      <c r="D116" s="394"/>
    </row>
    <row r="117" spans="1:4" x14ac:dyDescent="0.25">
      <c r="A117" s="394"/>
      <c r="B117" s="129"/>
      <c r="C117" s="128">
        <f>F31+F32+F33+F34+F35+F36+F37</f>
        <v>2.6403639739959011</v>
      </c>
      <c r="D117" s="394"/>
    </row>
    <row r="118" spans="1:4" ht="26.25" x14ac:dyDescent="0.25">
      <c r="B118" s="130" t="s">
        <v>39</v>
      </c>
      <c r="C118" s="128"/>
      <c r="D118" s="131">
        <f>C115+C116+C117</f>
        <v>72.202655680341294</v>
      </c>
    </row>
    <row r="119" spans="1:4" x14ac:dyDescent="0.25">
      <c r="B119" s="132" t="s">
        <v>65</v>
      </c>
      <c r="C119" s="128"/>
      <c r="D119" s="131"/>
    </row>
    <row r="120" spans="1:4" x14ac:dyDescent="0.25">
      <c r="A120" s="394"/>
      <c r="B120" s="129" t="s">
        <v>66</v>
      </c>
      <c r="C120" s="128">
        <f>F15</f>
        <v>15.270734209927225</v>
      </c>
      <c r="D120" s="394" t="s">
        <v>39</v>
      </c>
    </row>
    <row r="121" spans="1:4" x14ac:dyDescent="0.25">
      <c r="A121" s="394"/>
      <c r="B121" s="129" t="s">
        <v>67</v>
      </c>
      <c r="C121" s="128">
        <f>F16</f>
        <v>7.2194660047871766</v>
      </c>
      <c r="D121" s="394"/>
    </row>
    <row r="122" spans="1:4" x14ac:dyDescent="0.25">
      <c r="A122" s="394"/>
      <c r="B122" s="129" t="s">
        <v>68</v>
      </c>
      <c r="C122" s="128">
        <f>F17</f>
        <v>3.0798507059490094</v>
      </c>
      <c r="D122" s="394"/>
    </row>
    <row r="123" spans="1:4" x14ac:dyDescent="0.25">
      <c r="A123" s="394"/>
      <c r="B123" s="129" t="s">
        <v>69</v>
      </c>
      <c r="C123" s="128">
        <f>F18</f>
        <v>2.2856607080939484</v>
      </c>
      <c r="D123" s="394"/>
    </row>
    <row r="124" spans="1:4" x14ac:dyDescent="0.25">
      <c r="B124" s="52"/>
      <c r="C124" s="133"/>
    </row>
    <row r="125" spans="1:4" x14ac:dyDescent="0.25">
      <c r="B125" s="134" t="s">
        <v>38</v>
      </c>
      <c r="C125" s="133">
        <f>C115+C116+C117+C120+C121+C122+C123</f>
        <v>100.05836730909866</v>
      </c>
      <c r="D125" s="135">
        <f>C120+C121+C122+C123</f>
        <v>27.855711628757362</v>
      </c>
    </row>
  </sheetData>
  <mergeCells count="29">
    <mergeCell ref="E27:F27"/>
    <mergeCell ref="E2:F2"/>
    <mergeCell ref="B4:B12"/>
    <mergeCell ref="C4:C7"/>
    <mergeCell ref="K6:K9"/>
    <mergeCell ref="C8:C11"/>
    <mergeCell ref="K10:K13"/>
    <mergeCell ref="B14:B23"/>
    <mergeCell ref="C14:C18"/>
    <mergeCell ref="K16:K20"/>
    <mergeCell ref="C19:C21"/>
    <mergeCell ref="K21:K23"/>
    <mergeCell ref="B29:B37"/>
    <mergeCell ref="C29:C32"/>
    <mergeCell ref="C33:C36"/>
    <mergeCell ref="B39:B48"/>
    <mergeCell ref="C39:C43"/>
    <mergeCell ref="C44:C46"/>
    <mergeCell ref="A115:A117"/>
    <mergeCell ref="D115:D117"/>
    <mergeCell ref="A120:A123"/>
    <mergeCell ref="D120:D123"/>
    <mergeCell ref="E52:F52"/>
    <mergeCell ref="B54:B62"/>
    <mergeCell ref="C54:C57"/>
    <mergeCell ref="C58:C61"/>
    <mergeCell ref="B64:B72"/>
    <mergeCell ref="C64:C68"/>
    <mergeCell ref="C69:C7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3"/>
  </sheetPr>
  <dimension ref="A1:X24"/>
  <sheetViews>
    <sheetView showGridLines="0" topLeftCell="B1" workbookViewId="0">
      <selection activeCell="C17" sqref="C17:I17"/>
    </sheetView>
  </sheetViews>
  <sheetFormatPr baseColWidth="10" defaultColWidth="11.42578125" defaultRowHeight="12.75" x14ac:dyDescent="0.2"/>
  <cols>
    <col min="1" max="1" width="18" style="7" bestFit="1" customWidth="1"/>
    <col min="2" max="2" width="14.28515625" style="7" customWidth="1"/>
    <col min="3" max="4" width="15.5703125" style="7" customWidth="1"/>
    <col min="5" max="6" width="15.5703125" style="6" customWidth="1"/>
    <col min="7" max="7" width="21.140625" style="6" customWidth="1"/>
    <col min="8" max="9" width="15.5703125" style="6" customWidth="1"/>
    <col min="10" max="10" width="11.42578125" style="6"/>
    <col min="11" max="16384" width="11.42578125" style="7"/>
  </cols>
  <sheetData>
    <row r="1" spans="1:24" x14ac:dyDescent="0.2">
      <c r="A1" s="13" t="s">
        <v>1</v>
      </c>
      <c r="B1" s="413" t="s">
        <v>101</v>
      </c>
      <c r="C1" s="413"/>
      <c r="D1" s="413"/>
      <c r="E1" s="413"/>
      <c r="F1" s="413"/>
      <c r="G1" s="413"/>
      <c r="H1" s="413"/>
      <c r="I1" s="413"/>
    </row>
    <row r="2" spans="1:24" ht="15.95" customHeight="1" x14ac:dyDescent="0.2">
      <c r="A2" s="13" t="s">
        <v>2</v>
      </c>
      <c r="B2" s="414" t="s">
        <v>103</v>
      </c>
      <c r="C2" s="414"/>
      <c r="D2" s="414"/>
      <c r="E2" s="414"/>
      <c r="F2" s="414"/>
      <c r="G2" s="414"/>
      <c r="H2" s="414"/>
      <c r="I2" s="414"/>
    </row>
    <row r="3" spans="1:24" x14ac:dyDescent="0.2">
      <c r="A3" s="13" t="s">
        <v>0</v>
      </c>
      <c r="B3" s="413" t="s">
        <v>102</v>
      </c>
      <c r="C3" s="413"/>
      <c r="D3" s="413"/>
      <c r="E3" s="413"/>
      <c r="F3" s="413"/>
      <c r="G3" s="413"/>
      <c r="H3" s="413"/>
      <c r="I3" s="413"/>
      <c r="X3" s="7" t="str">
        <f>"Quelle: "&amp;Daten!B3</f>
        <v>Quelle: Erfolgskontrollberichte der Rücknahmesysteme für Geräte-Altbatterien 2015 bis 2022</v>
      </c>
    </row>
    <row r="4" spans="1:24" ht="12.75" customHeight="1" x14ac:dyDescent="0.2">
      <c r="A4" s="13" t="s">
        <v>3</v>
      </c>
      <c r="B4" s="415"/>
      <c r="C4" s="416"/>
      <c r="D4" s="416"/>
      <c r="E4" s="416"/>
      <c r="F4" s="416"/>
      <c r="G4" s="416"/>
      <c r="H4" s="416"/>
      <c r="I4" s="417"/>
    </row>
    <row r="5" spans="1:24" x14ac:dyDescent="0.2">
      <c r="A5" s="13" t="s">
        <v>8</v>
      </c>
      <c r="B5" s="414" t="s">
        <v>72</v>
      </c>
      <c r="C5" s="414"/>
      <c r="D5" s="414"/>
      <c r="E5" s="414"/>
      <c r="F5" s="414"/>
      <c r="G5" s="414"/>
      <c r="H5" s="414"/>
      <c r="I5" s="414"/>
    </row>
    <row r="6" spans="1:24" x14ac:dyDescent="0.2">
      <c r="A6" s="13" t="s">
        <v>9</v>
      </c>
      <c r="B6" s="412"/>
      <c r="C6" s="412"/>
      <c r="D6" s="412"/>
      <c r="E6" s="412"/>
      <c r="F6" s="412"/>
      <c r="G6" s="412"/>
      <c r="H6" s="412"/>
      <c r="I6" s="412"/>
    </row>
    <row r="7" spans="1:24" s="141" customFormat="1" x14ac:dyDescent="0.2">
      <c r="E7" s="8"/>
      <c r="F7" s="8"/>
      <c r="G7" s="8"/>
      <c r="H7" s="8"/>
      <c r="I7" s="8"/>
      <c r="J7" s="8"/>
    </row>
    <row r="8" spans="1:24" x14ac:dyDescent="0.2">
      <c r="A8" s="8"/>
      <c r="B8" s="8"/>
      <c r="C8" s="6"/>
      <c r="D8" s="9"/>
    </row>
    <row r="9" spans="1:24" ht="32.25" customHeight="1" x14ac:dyDescent="0.2">
      <c r="A9" s="6"/>
      <c r="B9" s="139"/>
      <c r="C9" s="34" t="s">
        <v>18</v>
      </c>
      <c r="D9" s="34" t="s">
        <v>92</v>
      </c>
      <c r="E9" s="34" t="s">
        <v>24</v>
      </c>
      <c r="F9" s="34" t="s">
        <v>20</v>
      </c>
      <c r="G9" s="34" t="s">
        <v>99</v>
      </c>
      <c r="H9" s="34" t="s">
        <v>44</v>
      </c>
      <c r="I9" s="34" t="s">
        <v>100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8.75" customHeight="1" x14ac:dyDescent="0.2">
      <c r="A10" s="12"/>
      <c r="B10" s="138">
        <v>2015</v>
      </c>
      <c r="C10" s="35">
        <v>32734</v>
      </c>
      <c r="D10" s="35">
        <v>11167</v>
      </c>
      <c r="E10" s="35">
        <v>26662</v>
      </c>
      <c r="F10" s="35">
        <v>4339</v>
      </c>
      <c r="G10" s="316">
        <v>1237</v>
      </c>
      <c r="H10" s="316">
        <v>2581</v>
      </c>
      <c r="I10" s="316">
        <v>6927</v>
      </c>
    </row>
    <row r="11" spans="1:24" ht="18.75" customHeight="1" x14ac:dyDescent="0.2">
      <c r="A11" s="12"/>
      <c r="B11" s="318">
        <v>2016</v>
      </c>
      <c r="C11" s="244">
        <v>33102</v>
      </c>
      <c r="D11" s="244">
        <v>12409</v>
      </c>
      <c r="E11" s="244">
        <v>27195</v>
      </c>
      <c r="F11" s="244">
        <v>4221</v>
      </c>
      <c r="G11" s="317">
        <v>1193</v>
      </c>
      <c r="H11" s="317">
        <v>2103</v>
      </c>
      <c r="I11" s="317">
        <v>8401</v>
      </c>
    </row>
    <row r="12" spans="1:24" ht="18.75" customHeight="1" x14ac:dyDescent="0.2">
      <c r="A12" s="12"/>
      <c r="B12" s="138">
        <v>2017</v>
      </c>
      <c r="C12" s="35">
        <v>34459</v>
      </c>
      <c r="D12" s="35">
        <v>16184</v>
      </c>
      <c r="E12" s="35">
        <v>28773</v>
      </c>
      <c r="F12" s="35">
        <v>3559</v>
      </c>
      <c r="G12" s="316">
        <v>1545</v>
      </c>
      <c r="H12" s="316">
        <v>2616</v>
      </c>
      <c r="I12" s="316">
        <v>10307</v>
      </c>
    </row>
    <row r="13" spans="1:24" ht="18.75" customHeight="1" x14ac:dyDescent="0.2">
      <c r="B13" s="318">
        <v>2018</v>
      </c>
      <c r="C13" s="244">
        <v>37124</v>
      </c>
      <c r="D13" s="244">
        <v>15035</v>
      </c>
      <c r="E13" s="244">
        <v>29411</v>
      </c>
      <c r="F13" s="244">
        <v>4173</v>
      </c>
      <c r="G13" s="317">
        <v>1276</v>
      </c>
      <c r="H13" s="317">
        <v>2351</v>
      </c>
      <c r="I13" s="317">
        <v>10684</v>
      </c>
    </row>
    <row r="14" spans="1:24" ht="18.75" customHeight="1" x14ac:dyDescent="0.2">
      <c r="B14" s="138">
        <v>2019</v>
      </c>
      <c r="C14" s="35">
        <v>38547</v>
      </c>
      <c r="D14" s="35">
        <v>17359</v>
      </c>
      <c r="E14" s="35">
        <v>32146</v>
      </c>
      <c r="F14" s="35">
        <v>4339</v>
      </c>
      <c r="G14" s="316">
        <v>1320</v>
      </c>
      <c r="H14" s="316">
        <v>2180</v>
      </c>
      <c r="I14" s="316">
        <v>12739</v>
      </c>
    </row>
    <row r="15" spans="1:24" ht="18.75" customHeight="1" x14ac:dyDescent="0.2">
      <c r="B15" s="318">
        <v>2020</v>
      </c>
      <c r="C15" s="244">
        <v>46619</v>
      </c>
      <c r="D15" s="244">
        <v>18749</v>
      </c>
      <c r="E15" s="244">
        <v>38390</v>
      </c>
      <c r="F15" s="244">
        <v>5275</v>
      </c>
      <c r="G15" s="317">
        <v>2253</v>
      </c>
      <c r="H15" s="317">
        <v>2448</v>
      </c>
      <c r="I15" s="317">
        <v>14000</v>
      </c>
    </row>
    <row r="16" spans="1:24" ht="18.75" customHeight="1" x14ac:dyDescent="0.2">
      <c r="B16" s="138">
        <v>2021</v>
      </c>
      <c r="C16" s="35">
        <v>42454</v>
      </c>
      <c r="D16" s="35">
        <v>20756</v>
      </c>
      <c r="E16" s="35">
        <v>36665</v>
      </c>
      <c r="F16" s="35">
        <v>3603</v>
      </c>
      <c r="G16" s="316">
        <v>1569</v>
      </c>
      <c r="H16" s="316">
        <v>1980</v>
      </c>
      <c r="I16" s="316">
        <v>16103</v>
      </c>
    </row>
    <row r="17" spans="2:9" ht="18.75" customHeight="1" x14ac:dyDescent="0.2">
      <c r="B17" s="319">
        <v>2022</v>
      </c>
      <c r="C17" s="320">
        <v>41794</v>
      </c>
      <c r="D17" s="320">
        <v>21340</v>
      </c>
      <c r="E17" s="320">
        <v>35744</v>
      </c>
      <c r="F17" s="320">
        <v>3993</v>
      </c>
      <c r="G17" s="321">
        <v>1756</v>
      </c>
      <c r="H17" s="321">
        <v>1927</v>
      </c>
      <c r="I17" s="321">
        <v>16763</v>
      </c>
    </row>
    <row r="19" spans="2:9" x14ac:dyDescent="0.2">
      <c r="B19"/>
      <c r="C19"/>
      <c r="D19"/>
      <c r="E19"/>
      <c r="F19"/>
      <c r="G19"/>
      <c r="H19"/>
    </row>
    <row r="20" spans="2:9" x14ac:dyDescent="0.2">
      <c r="B20"/>
      <c r="C20"/>
      <c r="D20" s="137"/>
      <c r="E20" s="137"/>
      <c r="F20" s="137"/>
      <c r="G20" s="137"/>
      <c r="H20" s="137"/>
    </row>
    <row r="21" spans="2:9" x14ac:dyDescent="0.2">
      <c r="B21"/>
      <c r="C21"/>
      <c r="D21" s="137"/>
      <c r="E21" s="137"/>
      <c r="F21" s="137"/>
      <c r="G21" s="137"/>
      <c r="H21" s="137"/>
    </row>
    <row r="22" spans="2:9" x14ac:dyDescent="0.2">
      <c r="B22"/>
      <c r="C22"/>
      <c r="D22" s="137"/>
      <c r="E22" s="137"/>
      <c r="F22" s="137"/>
      <c r="G22" s="137"/>
      <c r="H22" s="137"/>
    </row>
    <row r="23" spans="2:9" x14ac:dyDescent="0.2">
      <c r="B23"/>
      <c r="C23"/>
      <c r="D23" s="137"/>
      <c r="E23" s="137"/>
      <c r="F23" s="137"/>
      <c r="G23" s="137"/>
      <c r="H23" s="137"/>
    </row>
    <row r="24" spans="2:9" x14ac:dyDescent="0.2">
      <c r="B24"/>
      <c r="C24"/>
      <c r="D24" s="137"/>
      <c r="E24" s="137"/>
      <c r="F24" s="137"/>
      <c r="G24" s="137"/>
      <c r="H24" s="137"/>
    </row>
  </sheetData>
  <sheetProtection selectLockedCells="1"/>
  <mergeCells count="6">
    <mergeCell ref="B6:I6"/>
    <mergeCell ref="B1:I1"/>
    <mergeCell ref="B2:I2"/>
    <mergeCell ref="B3:I3"/>
    <mergeCell ref="B4:I4"/>
    <mergeCell ref="B5:I5"/>
  </mergeCells>
  <phoneticPr fontId="22" type="noConversion"/>
  <conditionalFormatting sqref="J9:X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Y34"/>
  <sheetViews>
    <sheetView showGridLines="0" tabSelected="1" zoomScale="130" zoomScaleNormal="130" workbookViewId="0">
      <selection sqref="A1:O21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6.28515625" style="1" customWidth="1"/>
    <col min="12" max="12" width="1.7109375" style="1" customWidth="1"/>
    <col min="13" max="13" width="14" style="1" customWidth="1"/>
    <col min="14" max="14" width="3.140625" style="1" customWidth="1"/>
    <col min="15" max="15" width="1.710937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25" ht="20.25" customHeight="1" x14ac:dyDescent="0.2">
      <c r="A2" s="3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40"/>
      <c r="Q2" s="418" t="s">
        <v>7</v>
      </c>
      <c r="R2" s="419"/>
      <c r="S2" s="419"/>
      <c r="T2" s="419"/>
      <c r="U2" s="419"/>
      <c r="V2" s="419"/>
      <c r="W2" s="419"/>
      <c r="X2" s="419"/>
      <c r="Y2" s="420"/>
    </row>
    <row r="3" spans="1:25" ht="18.75" customHeight="1" x14ac:dyDescent="0.3">
      <c r="A3" s="3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40"/>
      <c r="Q3" s="19"/>
      <c r="R3" s="20"/>
      <c r="S3" s="21"/>
      <c r="T3" s="20"/>
      <c r="U3" s="20"/>
      <c r="V3" s="21"/>
      <c r="W3" s="20"/>
      <c r="X3" s="20"/>
      <c r="Y3" s="22"/>
    </row>
    <row r="4" spans="1:25" ht="15.95" customHeight="1" x14ac:dyDescent="0.2">
      <c r="A4" s="3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O4" s="40"/>
      <c r="Q4" s="19"/>
      <c r="R4" s="20"/>
      <c r="S4" s="20"/>
      <c r="T4" s="20"/>
      <c r="U4" s="20"/>
      <c r="V4" s="20"/>
      <c r="W4" s="20"/>
      <c r="X4" s="20"/>
      <c r="Y4" s="22"/>
    </row>
    <row r="5" spans="1:25" ht="7.5" customHeight="1" x14ac:dyDescent="0.2">
      <c r="A5" s="3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40"/>
      <c r="Q5" s="23"/>
      <c r="R5" s="24"/>
      <c r="S5" s="24"/>
      <c r="T5" s="24"/>
      <c r="U5" s="24"/>
      <c r="V5" s="24"/>
      <c r="W5" s="24"/>
      <c r="X5" s="24"/>
      <c r="Y5" s="25"/>
    </row>
    <row r="6" spans="1:25" ht="16.5" customHeight="1" x14ac:dyDescent="0.2">
      <c r="A6" s="39"/>
      <c r="C6" s="3"/>
      <c r="O6" s="40"/>
      <c r="Q6" s="23"/>
      <c r="R6" s="24"/>
      <c r="S6" s="24"/>
      <c r="T6" s="24"/>
      <c r="U6" s="24"/>
      <c r="V6" s="24"/>
      <c r="W6" s="24"/>
      <c r="X6" s="24"/>
      <c r="Y6" s="25"/>
    </row>
    <row r="7" spans="1:25" ht="16.5" customHeight="1" x14ac:dyDescent="0.2">
      <c r="A7" s="39"/>
      <c r="C7" s="3"/>
      <c r="O7" s="40"/>
      <c r="Q7" s="23"/>
      <c r="R7" s="24"/>
      <c r="S7" s="24"/>
      <c r="T7" s="24"/>
      <c r="U7" s="24"/>
      <c r="V7" s="24"/>
      <c r="W7" s="24"/>
      <c r="X7" s="24"/>
      <c r="Y7" s="25"/>
    </row>
    <row r="8" spans="1:25" ht="16.5" customHeight="1" x14ac:dyDescent="0.2">
      <c r="A8" s="39"/>
      <c r="C8" s="3"/>
      <c r="O8" s="40"/>
      <c r="Q8" s="23"/>
      <c r="R8" s="24"/>
      <c r="S8" s="24"/>
      <c r="T8" s="24"/>
      <c r="U8" s="24"/>
      <c r="V8" s="24"/>
      <c r="W8" s="24"/>
      <c r="X8" s="24"/>
      <c r="Y8" s="25"/>
    </row>
    <row r="9" spans="1:25" ht="16.5" customHeight="1" x14ac:dyDescent="0.2">
      <c r="A9" s="39"/>
      <c r="C9" s="3"/>
      <c r="O9" s="40"/>
      <c r="Q9" s="23"/>
      <c r="R9" s="24"/>
      <c r="S9" s="24"/>
      <c r="T9" s="24"/>
      <c r="U9" s="24"/>
      <c r="V9" s="24"/>
      <c r="W9" s="24"/>
      <c r="X9" s="24"/>
      <c r="Y9" s="25"/>
    </row>
    <row r="10" spans="1:25" ht="16.5" customHeight="1" x14ac:dyDescent="0.2">
      <c r="A10" s="39"/>
      <c r="C10" s="3"/>
      <c r="O10" s="40"/>
      <c r="Q10" s="23"/>
      <c r="R10" s="24"/>
      <c r="S10" s="24"/>
      <c r="T10" s="24"/>
      <c r="U10" s="24"/>
      <c r="V10" s="24"/>
      <c r="W10" s="24"/>
      <c r="X10" s="24"/>
      <c r="Y10" s="25"/>
    </row>
    <row r="11" spans="1:25" ht="16.5" customHeight="1" x14ac:dyDescent="0.2">
      <c r="A11" s="39"/>
      <c r="C11" s="3"/>
      <c r="O11" s="40"/>
      <c r="Q11" s="23"/>
      <c r="R11" s="26" t="s">
        <v>4</v>
      </c>
      <c r="S11" s="24"/>
      <c r="T11" s="24"/>
      <c r="U11" s="24"/>
      <c r="V11" s="24"/>
      <c r="W11" s="24"/>
      <c r="X11" s="24"/>
      <c r="Y11" s="25"/>
    </row>
    <row r="12" spans="1:25" ht="16.5" customHeight="1" x14ac:dyDescent="0.2">
      <c r="A12" s="39"/>
      <c r="C12" s="3"/>
      <c r="O12" s="40"/>
      <c r="Q12" s="23"/>
      <c r="R12" s="24"/>
      <c r="S12" s="24"/>
      <c r="T12" s="24"/>
      <c r="U12" s="24"/>
      <c r="V12" s="24"/>
      <c r="W12" s="24"/>
      <c r="X12" s="24"/>
      <c r="Y12" s="25"/>
    </row>
    <row r="13" spans="1:25" ht="17.25" customHeight="1" x14ac:dyDescent="0.2">
      <c r="A13" s="39"/>
      <c r="C13" s="3"/>
      <c r="O13" s="40"/>
      <c r="Q13" s="23"/>
      <c r="R13" s="26" t="s">
        <v>5</v>
      </c>
      <c r="S13" s="24"/>
      <c r="T13" s="24"/>
      <c r="U13" s="24"/>
      <c r="V13" s="24"/>
      <c r="W13" s="24"/>
      <c r="X13" s="24"/>
      <c r="Y13" s="25"/>
    </row>
    <row r="14" spans="1:25" ht="16.5" customHeight="1" x14ac:dyDescent="0.2">
      <c r="A14" s="39"/>
      <c r="C14" s="3"/>
      <c r="O14" s="40"/>
      <c r="Q14" s="23"/>
      <c r="R14" s="24"/>
      <c r="S14" s="24"/>
      <c r="T14" s="24"/>
      <c r="U14" s="24"/>
      <c r="V14" s="24"/>
      <c r="W14" s="24"/>
      <c r="X14" s="24"/>
      <c r="Y14" s="25"/>
    </row>
    <row r="15" spans="1:25" ht="16.5" customHeight="1" x14ac:dyDescent="0.2">
      <c r="A15" s="39"/>
      <c r="C15" s="3"/>
      <c r="O15" s="40"/>
      <c r="Q15" s="23"/>
      <c r="R15" s="24"/>
      <c r="S15" s="26" t="s">
        <v>6</v>
      </c>
      <c r="T15" s="24"/>
      <c r="U15" s="24"/>
      <c r="V15" s="26" t="s">
        <v>6</v>
      </c>
      <c r="W15" s="24"/>
      <c r="X15" s="24"/>
      <c r="Y15" s="25"/>
    </row>
    <row r="16" spans="1:25" ht="16.5" customHeight="1" x14ac:dyDescent="0.2">
      <c r="A16" s="39"/>
      <c r="C16" s="3"/>
      <c r="O16" s="40"/>
      <c r="Q16" s="23"/>
      <c r="R16" s="24"/>
      <c r="S16" s="24"/>
      <c r="T16" s="24"/>
      <c r="U16" s="24"/>
      <c r="V16" s="24"/>
      <c r="W16" s="24"/>
      <c r="X16" s="24"/>
      <c r="Y16" s="25"/>
    </row>
    <row r="17" spans="1:25" ht="16.5" customHeight="1" x14ac:dyDescent="0.2">
      <c r="A17" s="39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41"/>
      <c r="P17" s="14"/>
      <c r="Q17" s="23"/>
      <c r="R17" s="24"/>
      <c r="S17" s="24"/>
      <c r="T17" s="24"/>
      <c r="U17" s="24"/>
      <c r="V17" s="24"/>
      <c r="W17" s="24"/>
      <c r="X17" s="24"/>
      <c r="Y17" s="25"/>
    </row>
    <row r="18" spans="1:25" ht="22.5" customHeight="1" x14ac:dyDescent="0.2">
      <c r="A18" s="39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1"/>
      <c r="P18" s="14"/>
      <c r="Q18" s="23"/>
      <c r="R18" s="24"/>
      <c r="S18" s="24"/>
      <c r="T18" s="24"/>
      <c r="U18" s="24"/>
      <c r="V18" s="24"/>
      <c r="W18" s="24"/>
      <c r="X18" s="24"/>
      <c r="Y18" s="25"/>
    </row>
    <row r="19" spans="1:25" ht="87" customHeight="1" x14ac:dyDescent="0.2">
      <c r="A19" s="39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41"/>
      <c r="P19" s="14"/>
      <c r="Q19" s="27"/>
      <c r="R19" s="28"/>
      <c r="S19" s="28"/>
      <c r="T19" s="28"/>
      <c r="U19" s="28"/>
      <c r="V19" s="28"/>
      <c r="W19" s="28"/>
      <c r="X19" s="28"/>
      <c r="Y19" s="29"/>
    </row>
    <row r="20" spans="1:25" ht="6" customHeight="1" x14ac:dyDescent="0.2">
      <c r="A20" s="39"/>
      <c r="B20" s="16"/>
      <c r="C20" s="17"/>
      <c r="D20" s="16"/>
      <c r="E20" s="315"/>
      <c r="F20" s="16"/>
      <c r="G20" s="315"/>
      <c r="H20" s="16"/>
      <c r="I20" s="315"/>
      <c r="J20" s="16"/>
      <c r="K20" s="315"/>
      <c r="L20" s="16"/>
      <c r="M20" s="315"/>
      <c r="N20" s="16"/>
      <c r="O20" s="41"/>
      <c r="P20" s="14"/>
    </row>
    <row r="21" spans="1:25" ht="15.75" customHeight="1" x14ac:dyDescent="0.2">
      <c r="A21" s="42"/>
      <c r="B21" s="43"/>
      <c r="C21" s="44"/>
      <c r="D21" s="43"/>
      <c r="E21" s="140"/>
      <c r="F21" s="43"/>
      <c r="G21" s="140"/>
      <c r="H21" s="43"/>
      <c r="I21" s="140"/>
      <c r="J21" s="43"/>
      <c r="K21" s="140"/>
      <c r="L21" s="43"/>
      <c r="M21" s="140"/>
      <c r="N21" s="43"/>
      <c r="O21" s="45"/>
      <c r="P21" s="14"/>
    </row>
    <row r="22" spans="1:25" ht="16.5" customHeight="1" x14ac:dyDescent="0.2">
      <c r="B22" s="14"/>
      <c r="C22" s="15"/>
      <c r="D22" s="18"/>
      <c r="E22" s="18"/>
      <c r="F22" s="18"/>
      <c r="G22" s="18"/>
      <c r="H22" s="18"/>
      <c r="I22" s="18"/>
      <c r="J22" s="18"/>
      <c r="K22" s="18"/>
      <c r="L22" s="18"/>
      <c r="M22" s="14"/>
      <c r="N22" s="14"/>
      <c r="O22" s="14"/>
      <c r="P22" s="14"/>
    </row>
    <row r="23" spans="1:25" ht="21.75" customHeight="1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25" ht="6.75" customHeight="1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25" ht="6" customHeight="1" x14ac:dyDescent="0.2"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25" ht="4.5" customHeight="1" x14ac:dyDescent="0.2"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25" ht="6" customHeight="1" x14ac:dyDescent="0.2"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25" ht="6.75" customHeight="1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5" ht="4.5" customHeight="1" x14ac:dyDescent="0.2">
      <c r="B29" s="14"/>
      <c r="C29" s="14"/>
      <c r="D29" s="14"/>
      <c r="E29" s="14"/>
      <c r="F29" s="14"/>
      <c r="G29" s="14"/>
      <c r="H29" s="32"/>
      <c r="I29" s="32"/>
      <c r="J29" s="32"/>
      <c r="K29" s="32"/>
      <c r="L29" s="32"/>
      <c r="M29" s="14"/>
      <c r="N29" s="14"/>
      <c r="O29" s="14"/>
      <c r="P29" s="14"/>
    </row>
    <row r="30" spans="1:25" ht="18" customHeight="1" x14ac:dyDescent="0.2">
      <c r="B30" s="33"/>
      <c r="C30" s="33"/>
      <c r="D30" s="33"/>
      <c r="E30" s="33"/>
      <c r="F30" s="33"/>
      <c r="G30" s="32"/>
      <c r="H30" s="32"/>
      <c r="I30" s="32"/>
      <c r="J30" s="32"/>
      <c r="K30" s="32"/>
      <c r="L30" s="32"/>
      <c r="M30" s="14"/>
      <c r="N30" s="14"/>
      <c r="O30" s="14"/>
      <c r="P30" s="14"/>
    </row>
    <row r="31" spans="1:25" x14ac:dyDescent="0.2">
      <c r="B31" s="33"/>
      <c r="C31" s="33"/>
      <c r="D31" s="33"/>
      <c r="E31" s="33"/>
      <c r="F31" s="33"/>
      <c r="G31" s="32"/>
      <c r="H31" s="32"/>
      <c r="I31" s="32"/>
      <c r="J31" s="32"/>
      <c r="K31" s="32"/>
      <c r="L31" s="32"/>
      <c r="M31" s="14"/>
      <c r="N31" s="14"/>
      <c r="O31" s="14"/>
      <c r="P31" s="14"/>
    </row>
    <row r="32" spans="1:25" x14ac:dyDescent="0.2">
      <c r="B32" s="33"/>
      <c r="C32" s="33"/>
      <c r="D32" s="33"/>
      <c r="E32" s="33"/>
      <c r="F32" s="33"/>
      <c r="G32" s="32"/>
      <c r="H32" s="32"/>
      <c r="I32" s="32"/>
      <c r="J32" s="32"/>
      <c r="K32" s="32"/>
      <c r="L32" s="32"/>
      <c r="M32" s="14"/>
      <c r="N32" s="14"/>
      <c r="O32" s="14"/>
      <c r="P32" s="14"/>
    </row>
    <row r="33" spans="2:16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Vorberech-Verkehr_2013</vt:lpstr>
      <vt:lpstr>Vorberechn-Verkehr-2011</vt:lpstr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2017-11-24T09:56:35Z</cp:lastPrinted>
  <dcterms:created xsi:type="dcterms:W3CDTF">2010-08-25T11:28:54Z</dcterms:created>
  <dcterms:modified xsi:type="dcterms:W3CDTF">2023-10-23T13:18:05Z</dcterms:modified>
</cp:coreProperties>
</file>