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Z:\Int\FG_Oeffentlichkeitsarbeit\Datenübersichten\Veröffentlichungen\2025\"/>
    </mc:Choice>
  </mc:AlternateContent>
  <xr:revisionPtr revIDLastSave="0" documentId="13_ncr:1_{74F5EC3B-7BBB-4049-8C48-52DF94B30F39}" xr6:coauthVersionLast="36" xr6:coauthVersionMax="47" xr10:uidLastSave="{00000000-0000-0000-0000-000000000000}"/>
  <bookViews>
    <workbookView xWindow="-120" yWindow="-120" windowWidth="29040" windowHeight="17640" tabRatio="869" activeTab="3" xr2:uid="{00000000-000D-0000-FFFF-FFFF00000000}"/>
  </bookViews>
  <sheets>
    <sheet name="THG-Trends" sheetId="10" r:id="rId1"/>
    <sheet name="THG-Anteile" sheetId="9" r:id="rId2"/>
    <sheet name="THG kurz" sheetId="41" r:id="rId3"/>
    <sheet name="THG" sheetId="8" r:id="rId4"/>
    <sheet name="CO2" sheetId="3" r:id="rId5"/>
    <sheet name="CH4" sheetId="6" r:id="rId6"/>
    <sheet name="N2O" sheetId="7" r:id="rId7"/>
    <sheet name="F-Gase" sheetId="45" r:id="rId8"/>
    <sheet name="Daten Sektorgrafik" sheetId="12" r:id="rId9"/>
    <sheet name="Sektorgrafik UBA_CI" sheetId="13" r:id="rId10"/>
    <sheet name="Daten Zielpfadgrafik" sheetId="14" r:id="rId11"/>
    <sheet name="Grafik Zielpfad" sheetId="18" r:id="rId12"/>
    <sheet name="Grafik Zielpfadänderung JEGM" sheetId="46" r:id="rId13"/>
    <sheet name="Daten Sektor Energiew." sheetId="21" r:id="rId14"/>
    <sheet name="Grafik Sektor Energiew." sheetId="22" r:id="rId15"/>
    <sheet name="Daten Sektor Industrie" sheetId="23" r:id="rId16"/>
    <sheet name="Grafik Sektor Industrie" sheetId="24" r:id="rId17"/>
    <sheet name="Daten Sektor Gebäude" sheetId="25" r:id="rId18"/>
    <sheet name="Grafik Sektor Gebäude" sheetId="26" r:id="rId19"/>
    <sheet name="Daten Sektor Verkehr" sheetId="27" r:id="rId20"/>
    <sheet name="Grafik Sektor Verkehr" sheetId="28" r:id="rId21"/>
    <sheet name="Daten Sektor Landwirtschaft" sheetId="31" r:id="rId22"/>
    <sheet name="Grafik Sektor Landwirtschaft" sheetId="32" r:id="rId23"/>
    <sheet name="Daten Sektor Abfallwirtschaft" sheetId="33" r:id="rId24"/>
    <sheet name="Grafik Sektor Abfallwirtschaft" sheetId="34" r:id="rId25"/>
    <sheet name="Unsicherheiten" sheetId="44" r:id="rId26"/>
  </sheets>
  <definedNames>
    <definedName name="_xlnm.Print_Area" localSheetId="5">'CH4'!$A$1:$AL$54</definedName>
    <definedName name="_xlnm.Print_Area" localSheetId="4">'CO2'!$A$1:$AL$54</definedName>
    <definedName name="_xlnm.Print_Area" localSheetId="7">'F-Gase'!$A$1:$AL$54</definedName>
    <definedName name="_xlnm.Print_Area" localSheetId="6">N2O!$A$1:$AL$54</definedName>
    <definedName name="_xlnm.Print_Area" localSheetId="3">THG!$A$1:$AL$54</definedName>
    <definedName name="_xlnm.Print_Area" localSheetId="2">'THG kurz'!$A$1:$AO$18</definedName>
    <definedName name="_xlnm.Print_Area" localSheetId="1">'THG-Anteile'!$A$1:$AG$46</definedName>
    <definedName name="_xlnm.Print_Area" localSheetId="0">'THG-Trends'!$A$1:$AG$54</definedName>
    <definedName name="_xlnm.Print_Area" localSheetId="25">Unsicherheiten!$A$1:$N$16</definedName>
  </definedNames>
  <calcPr calcId="191029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21" i="14" l="1"/>
  <c r="AT170" i="14"/>
  <c r="AQ259" i="14" l="1"/>
  <c r="AP259" i="14"/>
  <c r="AO259" i="14"/>
  <c r="AN259" i="14"/>
  <c r="AM259" i="14"/>
  <c r="AL259" i="14"/>
  <c r="AK259" i="14"/>
  <c r="AI259" i="14"/>
  <c r="AI247" i="14" s="1"/>
  <c r="AJ247" i="14" s="1"/>
  <c r="AR260" i="14"/>
  <c r="AQ260" i="14"/>
  <c r="AP260" i="14"/>
  <c r="AO260" i="14"/>
  <c r="AN260" i="14"/>
  <c r="AM260" i="14"/>
  <c r="AL260" i="14"/>
  <c r="AK260" i="14"/>
  <c r="AJ260" i="14"/>
  <c r="AI260" i="14"/>
  <c r="AH260" i="14"/>
  <c r="AI35" i="14"/>
  <c r="AI239" i="14" s="1"/>
  <c r="AJ35" i="14"/>
  <c r="AR35" i="14"/>
  <c r="AM35" i="14"/>
  <c r="AM143" i="14" s="1"/>
  <c r="AR143" i="14" s="1"/>
  <c r="AN35" i="14"/>
  <c r="AN119" i="14" s="1"/>
  <c r="AO35" i="14"/>
  <c r="AO95" i="14" s="1"/>
  <c r="AP35" i="14"/>
  <c r="AP71" i="14" s="1"/>
  <c r="AR71" i="14" s="1"/>
  <c r="AQ35" i="14"/>
  <c r="AK22" i="14"/>
  <c r="AJ22" i="14"/>
  <c r="AI22" i="14"/>
  <c r="AH22" i="14"/>
  <c r="AK21" i="45"/>
  <c r="AL21" i="45"/>
  <c r="AK26" i="45"/>
  <c r="AL26" i="45"/>
  <c r="AK32" i="45"/>
  <c r="AL32" i="45"/>
  <c r="AK42" i="45"/>
  <c r="AL42" i="45"/>
  <c r="AK48" i="45"/>
  <c r="AL48" i="45"/>
  <c r="AI241" i="14"/>
  <c r="AJ239" i="14" l="1"/>
  <c r="AJ227" i="14" s="1"/>
  <c r="AJ215" i="14" s="1"/>
  <c r="AM239" i="14"/>
  <c r="AM227" i="14" s="1"/>
  <c r="AR239" i="14"/>
  <c r="AR227" i="14" s="1"/>
  <c r="AQ239" i="14"/>
  <c r="AQ227" i="14" s="1"/>
  <c r="AP239" i="14"/>
  <c r="AP227" i="14" s="1"/>
  <c r="AO239" i="14"/>
  <c r="AO227" i="14" s="1"/>
  <c r="AN239" i="14"/>
  <c r="AN227" i="14" s="1"/>
  <c r="AL239" i="14"/>
  <c r="AL227" i="14" s="1"/>
  <c r="AK239" i="14"/>
  <c r="AK227" i="14" s="1"/>
  <c r="AO247" i="14"/>
  <c r="AO235" i="14" s="1"/>
  <c r="AN247" i="14"/>
  <c r="AN235" i="14" s="1"/>
  <c r="AR247" i="14"/>
  <c r="AR235" i="14" s="1"/>
  <c r="AM247" i="14"/>
  <c r="AM235" i="14" s="1"/>
  <c r="AL247" i="14"/>
  <c r="AL235" i="14" s="1"/>
  <c r="AK247" i="14"/>
  <c r="AK235" i="14" s="1"/>
  <c r="AJ235" i="14"/>
  <c r="AJ223" i="14" s="1"/>
  <c r="AQ247" i="14"/>
  <c r="AQ235" i="14" s="1"/>
  <c r="AP247" i="14"/>
  <c r="AP235" i="14" s="1"/>
  <c r="AP95" i="14"/>
  <c r="AR95" i="14"/>
  <c r="AN143" i="14"/>
  <c r="AQ71" i="14"/>
  <c r="AO119" i="14"/>
  <c r="AR119" i="14"/>
  <c r="AQ119" i="14"/>
  <c r="AP119" i="14"/>
  <c r="AQ95" i="14"/>
  <c r="AO143" i="14"/>
  <c r="AP143" i="14"/>
  <c r="AQ143" i="14"/>
  <c r="AH23" i="14"/>
  <c r="AI23" i="14"/>
  <c r="AH24" i="14"/>
  <c r="AI24" i="14"/>
  <c r="AH25" i="14"/>
  <c r="AI25" i="14"/>
  <c r="AH26" i="14"/>
  <c r="AI26" i="14"/>
  <c r="AH27" i="14"/>
  <c r="AI27" i="14"/>
  <c r="AH28" i="14"/>
  <c r="AI28" i="14"/>
  <c r="AI245" i="14"/>
  <c r="AQ245" i="14" s="1"/>
  <c r="AI244" i="14"/>
  <c r="AO244" i="14" s="1"/>
  <c r="AI243" i="14"/>
  <c r="AI242" i="14"/>
  <c r="AK242" i="14" s="1"/>
  <c r="AP241" i="14"/>
  <c r="AQ240" i="14"/>
  <c r="AP240" i="14"/>
  <c r="AO240" i="14"/>
  <c r="AN240" i="14"/>
  <c r="AM240" i="14"/>
  <c r="AL240" i="14"/>
  <c r="AK240" i="14"/>
  <c r="AI240" i="14"/>
  <c r="AQ180" i="14"/>
  <c r="AQ156" i="14" s="1"/>
  <c r="AQ132" i="14" s="1"/>
  <c r="AQ108" i="14" s="1"/>
  <c r="AQ84" i="14" s="1"/>
  <c r="AQ60" i="14" s="1"/>
  <c r="AP180" i="14"/>
  <c r="AP156" i="14" s="1"/>
  <c r="AP132" i="14" s="1"/>
  <c r="AP108" i="14" s="1"/>
  <c r="AP84" i="14" s="1"/>
  <c r="AO180" i="14"/>
  <c r="AO156" i="14" s="1"/>
  <c r="AO132" i="14" s="1"/>
  <c r="AO108" i="14" s="1"/>
  <c r="AN180" i="14"/>
  <c r="AN156" i="14" s="1"/>
  <c r="AN132" i="14" s="1"/>
  <c r="AM180" i="14"/>
  <c r="AM156" i="14" s="1"/>
  <c r="AL180" i="14"/>
  <c r="AR41" i="14"/>
  <c r="AQ41" i="14"/>
  <c r="AQ53" i="14" s="1"/>
  <c r="AR53" i="14" s="1"/>
  <c r="AP41" i="14"/>
  <c r="AP77" i="14" s="1"/>
  <c r="AO41" i="14"/>
  <c r="AO101" i="14" s="1"/>
  <c r="AN41" i="14"/>
  <c r="AN125" i="14" s="1"/>
  <c r="AM41" i="14"/>
  <c r="AM149" i="14" s="1"/>
  <c r="AR40" i="14"/>
  <c r="AQ40" i="14"/>
  <c r="AP40" i="14"/>
  <c r="AO40" i="14"/>
  <c r="AN40" i="14"/>
  <c r="AM40" i="14"/>
  <c r="AR39" i="14"/>
  <c r="AQ39" i="14"/>
  <c r="AQ51" i="14" s="1"/>
  <c r="AR51" i="14" s="1"/>
  <c r="AP39" i="14"/>
  <c r="AP75" i="14" s="1"/>
  <c r="AO39" i="14"/>
  <c r="AO99" i="14" s="1"/>
  <c r="AQ99" i="14" s="1"/>
  <c r="AN39" i="14"/>
  <c r="AN123" i="14" s="1"/>
  <c r="AP123" i="14" s="1"/>
  <c r="AM39" i="14"/>
  <c r="AM147" i="14" s="1"/>
  <c r="AR38" i="14"/>
  <c r="AQ38" i="14"/>
  <c r="AQ50" i="14" s="1"/>
  <c r="AR50" i="14" s="1"/>
  <c r="AP38" i="14"/>
  <c r="AP74" i="14" s="1"/>
  <c r="AQ74" i="14" s="1"/>
  <c r="AO38" i="14"/>
  <c r="AO98" i="14" s="1"/>
  <c r="AP98" i="14" s="1"/>
  <c r="AN38" i="14"/>
  <c r="AN122" i="14" s="1"/>
  <c r="AM38" i="14"/>
  <c r="AM146" i="14" s="1"/>
  <c r="AR37" i="14"/>
  <c r="AQ37" i="14"/>
  <c r="AP37" i="14"/>
  <c r="AP73" i="14" s="1"/>
  <c r="AO37" i="14"/>
  <c r="AO97" i="14" s="1"/>
  <c r="AN37" i="14"/>
  <c r="AN121" i="14" s="1"/>
  <c r="AM37" i="14"/>
  <c r="AM145" i="14" s="1"/>
  <c r="AP145" i="14" s="1"/>
  <c r="AR36" i="14"/>
  <c r="AQ36" i="14"/>
  <c r="AQ55" i="14" s="1"/>
  <c r="AR55" i="14" s="1"/>
  <c r="AP36" i="14"/>
  <c r="AP79" i="14" s="1"/>
  <c r="AQ79" i="14" s="1"/>
  <c r="AO36" i="14"/>
  <c r="AO103" i="14" s="1"/>
  <c r="AP103" i="14" s="1"/>
  <c r="AN36" i="14"/>
  <c r="AN127" i="14" s="1"/>
  <c r="AR127" i="14" s="1"/>
  <c r="AM36" i="14"/>
  <c r="AM151" i="14" s="1"/>
  <c r="AR33" i="14"/>
  <c r="AQ33" i="14"/>
  <c r="AP33" i="14"/>
  <c r="AO33" i="14"/>
  <c r="AN33" i="14"/>
  <c r="AM33" i="14"/>
  <c r="AL33" i="14"/>
  <c r="AK33" i="14"/>
  <c r="AJ33" i="14"/>
  <c r="AI33" i="14"/>
  <c r="AR215" i="14" l="1"/>
  <c r="AR203" i="14" s="1"/>
  <c r="AQ215" i="14"/>
  <c r="AQ203" i="14" s="1"/>
  <c r="AP215" i="14"/>
  <c r="AP203" i="14" s="1"/>
  <c r="AO215" i="14"/>
  <c r="AO203" i="14" s="1"/>
  <c r="AN215" i="14"/>
  <c r="AN203" i="14" s="1"/>
  <c r="AM215" i="14"/>
  <c r="AM203" i="14" s="1"/>
  <c r="AL215" i="14"/>
  <c r="AL203" i="14" s="1"/>
  <c r="AK215" i="14"/>
  <c r="AK203" i="14" s="1"/>
  <c r="AQ127" i="14"/>
  <c r="AQ103" i="14"/>
  <c r="AP127" i="14"/>
  <c r="AO127" i="14"/>
  <c r="AR223" i="14"/>
  <c r="AR211" i="14" s="1"/>
  <c r="AM223" i="14"/>
  <c r="AM211" i="14" s="1"/>
  <c r="AN223" i="14"/>
  <c r="AN211" i="14" s="1"/>
  <c r="AO223" i="14"/>
  <c r="AO211" i="14" s="1"/>
  <c r="AP223" i="14"/>
  <c r="AP211" i="14" s="1"/>
  <c r="AQ223" i="14"/>
  <c r="AQ211" i="14" s="1"/>
  <c r="AK223" i="14"/>
  <c r="AK211" i="14" s="1"/>
  <c r="AL223" i="14"/>
  <c r="AL211" i="14" s="1"/>
  <c r="AR79" i="14"/>
  <c r="AH30" i="14"/>
  <c r="AR151" i="14"/>
  <c r="AP151" i="14"/>
  <c r="AQ151" i="14"/>
  <c r="AO151" i="14"/>
  <c r="AN151" i="14"/>
  <c r="AR103" i="14"/>
  <c r="AQ49" i="14"/>
  <c r="AR49" i="14" s="1"/>
  <c r="AQ47" i="14"/>
  <c r="AR47" i="14" s="1"/>
  <c r="AK9" i="45"/>
  <c r="AL9" i="45"/>
  <c r="AQ122" i="14"/>
  <c r="AO122" i="14"/>
  <c r="AR74" i="14"/>
  <c r="AQ48" i="14"/>
  <c r="AR48" i="14" s="1"/>
  <c r="AN120" i="14"/>
  <c r="AO96" i="14"/>
  <c r="AP72" i="14"/>
  <c r="AP149" i="14"/>
  <c r="AN149" i="14"/>
  <c r="AP147" i="14"/>
  <c r="AN147" i="14"/>
  <c r="AR73" i="14"/>
  <c r="AQ73" i="14"/>
  <c r="AQ146" i="14"/>
  <c r="AN146" i="14"/>
  <c r="AP146" i="14"/>
  <c r="AR146" i="14"/>
  <c r="AM144" i="14"/>
  <c r="AR144" i="14" s="1"/>
  <c r="AK241" i="14"/>
  <c r="AL241" i="14"/>
  <c r="AM241" i="14"/>
  <c r="AK245" i="14"/>
  <c r="AK244" i="14"/>
  <c r="AO241" i="14"/>
  <c r="AM245" i="14"/>
  <c r="AL244" i="14"/>
  <c r="AM244" i="14"/>
  <c r="AQ241" i="14"/>
  <c r="AN245" i="14"/>
  <c r="AJ241" i="14"/>
  <c r="AN145" i="14"/>
  <c r="AR241" i="14"/>
  <c r="AO245" i="14"/>
  <c r="AP245" i="14"/>
  <c r="AP244" i="14"/>
  <c r="AR245" i="14"/>
  <c r="AR125" i="14"/>
  <c r="AQ125" i="14"/>
  <c r="AO125" i="14"/>
  <c r="AP125" i="14"/>
  <c r="AR101" i="14"/>
  <c r="AP101" i="14"/>
  <c r="AR75" i="14"/>
  <c r="AQ75" i="14"/>
  <c r="AR122" i="14"/>
  <c r="AP122" i="14"/>
  <c r="AR77" i="14"/>
  <c r="AQ77" i="14"/>
  <c r="AQ98" i="14"/>
  <c r="AM243" i="14"/>
  <c r="AL243" i="14"/>
  <c r="AJ243" i="14"/>
  <c r="AR243" i="14"/>
  <c r="AQ243" i="14"/>
  <c r="AP243" i="14"/>
  <c r="AO243" i="14"/>
  <c r="AN243" i="14"/>
  <c r="AK243" i="14"/>
  <c r="AR121" i="14"/>
  <c r="AQ121" i="14"/>
  <c r="AP121" i="14"/>
  <c r="AO121" i="14"/>
  <c r="AR98" i="14"/>
  <c r="AR97" i="14"/>
  <c r="AQ97" i="14"/>
  <c r="AP97" i="14"/>
  <c r="AQ101" i="14"/>
  <c r="AR99" i="14"/>
  <c r="AQ145" i="14"/>
  <c r="AQ147" i="14"/>
  <c r="AL242" i="14"/>
  <c r="AR123" i="14"/>
  <c r="AR145" i="14"/>
  <c r="AR147" i="14"/>
  <c r="AR149" i="14"/>
  <c r="AM242" i="14"/>
  <c r="AQ244" i="14"/>
  <c r="AQ123" i="14"/>
  <c r="AN242" i="14"/>
  <c r="AR244" i="14"/>
  <c r="AQ149" i="14"/>
  <c r="AO242" i="14"/>
  <c r="AO146" i="14"/>
  <c r="AN241" i="14"/>
  <c r="AP242" i="14"/>
  <c r="AJ245" i="14"/>
  <c r="AQ242" i="14"/>
  <c r="AR242" i="14"/>
  <c r="AJ244" i="14"/>
  <c r="AL245" i="14"/>
  <c r="AP99" i="14"/>
  <c r="AO123" i="14"/>
  <c r="AO145" i="14"/>
  <c r="AO147" i="14"/>
  <c r="AO149" i="14"/>
  <c r="AJ242" i="14"/>
  <c r="AN244" i="14"/>
  <c r="AR228" i="14" l="1"/>
  <c r="AJ228" i="14"/>
  <c r="AQ228" i="14"/>
  <c r="AQ204" i="14" s="1"/>
  <c r="AP228" i="14"/>
  <c r="AP204" i="14" s="1"/>
  <c r="AO228" i="14"/>
  <c r="AO204" i="14" s="1"/>
  <c r="AN228" i="14"/>
  <c r="AN204" i="14" s="1"/>
  <c r="AM228" i="14"/>
  <c r="AM204" i="14" s="1"/>
  <c r="AL228" i="14"/>
  <c r="AL204" i="14" s="1"/>
  <c r="AK228" i="14"/>
  <c r="AK204" i="14" s="1"/>
  <c r="AK23" i="14" s="1"/>
  <c r="AJ23" i="14" l="1"/>
  <c r="AJ216" i="14"/>
  <c r="AR216" i="14" s="1"/>
  <c r="AR23" i="14" s="1"/>
  <c r="AJ48" i="45"/>
  <c r="AI48" i="45"/>
  <c r="AH48" i="45"/>
  <c r="AG48" i="45"/>
  <c r="AF48" i="45"/>
  <c r="AE48" i="45"/>
  <c r="AD48" i="45"/>
  <c r="AC48" i="45"/>
  <c r="AB48" i="45"/>
  <c r="AA48" i="45"/>
  <c r="Z48" i="45"/>
  <c r="Y48" i="45"/>
  <c r="X48" i="45"/>
  <c r="W48" i="45"/>
  <c r="V48" i="45"/>
  <c r="U48" i="45"/>
  <c r="T48" i="45"/>
  <c r="S48" i="45"/>
  <c r="R48" i="45"/>
  <c r="Q48" i="45"/>
  <c r="P48" i="45"/>
  <c r="O48" i="45"/>
  <c r="N48" i="45"/>
  <c r="M48" i="45"/>
  <c r="L48" i="45"/>
  <c r="K48" i="45"/>
  <c r="J48" i="45"/>
  <c r="I48" i="45"/>
  <c r="H48" i="45"/>
  <c r="G48" i="45"/>
  <c r="F48" i="45"/>
  <c r="E48" i="45"/>
  <c r="D48" i="45"/>
  <c r="AJ42" i="45"/>
  <c r="AI42" i="45"/>
  <c r="AH42" i="45"/>
  <c r="AG42" i="45"/>
  <c r="AF42" i="45"/>
  <c r="AE42" i="45"/>
  <c r="AD42" i="45"/>
  <c r="AC42" i="45"/>
  <c r="AB42" i="45"/>
  <c r="AA42" i="45"/>
  <c r="Z42" i="45"/>
  <c r="Y42" i="45"/>
  <c r="X42" i="45"/>
  <c r="W42" i="45"/>
  <c r="V42" i="45"/>
  <c r="U42" i="45"/>
  <c r="T42" i="45"/>
  <c r="S42" i="45"/>
  <c r="R42" i="45"/>
  <c r="Q42" i="45"/>
  <c r="P42" i="45"/>
  <c r="O42" i="45"/>
  <c r="N42" i="45"/>
  <c r="M42" i="45"/>
  <c r="L42" i="45"/>
  <c r="K42" i="45"/>
  <c r="J42" i="45"/>
  <c r="I42" i="45"/>
  <c r="H42" i="45"/>
  <c r="G42" i="45"/>
  <c r="F42" i="45"/>
  <c r="E42" i="45"/>
  <c r="D42" i="45"/>
  <c r="AJ32" i="45"/>
  <c r="AI32" i="45"/>
  <c r="AH32" i="45"/>
  <c r="AG32" i="45"/>
  <c r="AF32" i="45"/>
  <c r="AE32" i="45"/>
  <c r="AD32" i="45"/>
  <c r="AC32" i="45"/>
  <c r="AB32" i="45"/>
  <c r="AA32" i="45"/>
  <c r="Z32" i="45"/>
  <c r="Y32" i="45"/>
  <c r="X32" i="45"/>
  <c r="W32" i="45"/>
  <c r="V32" i="45"/>
  <c r="U32" i="45"/>
  <c r="T32" i="45"/>
  <c r="S32" i="45"/>
  <c r="R32" i="45"/>
  <c r="Q32" i="45"/>
  <c r="P32" i="45"/>
  <c r="O32" i="45"/>
  <c r="N32" i="45"/>
  <c r="M32" i="45"/>
  <c r="L32" i="45"/>
  <c r="K32" i="45"/>
  <c r="J32" i="45"/>
  <c r="I32" i="45"/>
  <c r="H32" i="45"/>
  <c r="G32" i="45"/>
  <c r="F32" i="45"/>
  <c r="E32" i="45"/>
  <c r="D32" i="45"/>
  <c r="AJ26" i="45"/>
  <c r="AI26" i="45"/>
  <c r="AH26" i="45"/>
  <c r="AG26" i="45"/>
  <c r="AF26" i="45"/>
  <c r="AE26" i="45"/>
  <c r="AD26" i="45"/>
  <c r="AC26" i="45"/>
  <c r="AB26" i="45"/>
  <c r="AA26" i="45"/>
  <c r="Z26" i="45"/>
  <c r="Y26" i="45"/>
  <c r="X26" i="45"/>
  <c r="W26" i="45"/>
  <c r="V26" i="45"/>
  <c r="U26" i="45"/>
  <c r="T26" i="45"/>
  <c r="S26" i="45"/>
  <c r="R26" i="45"/>
  <c r="Q26" i="45"/>
  <c r="P26" i="45"/>
  <c r="O26" i="45"/>
  <c r="N26" i="45"/>
  <c r="M26" i="45"/>
  <c r="L26" i="45"/>
  <c r="K26" i="45"/>
  <c r="J26" i="45"/>
  <c r="I26" i="45"/>
  <c r="H26" i="45"/>
  <c r="G26" i="45"/>
  <c r="F26" i="45"/>
  <c r="E26" i="45"/>
  <c r="D26" i="45"/>
  <c r="AJ21" i="45"/>
  <c r="AI21" i="45"/>
  <c r="AH21" i="45"/>
  <c r="AG21" i="45"/>
  <c r="AF21" i="45"/>
  <c r="AE21" i="45"/>
  <c r="AD21" i="45"/>
  <c r="AC21" i="45"/>
  <c r="AB21" i="45"/>
  <c r="AA21" i="45"/>
  <c r="Z21" i="45"/>
  <c r="Y21" i="45"/>
  <c r="X21" i="45"/>
  <c r="W21" i="45"/>
  <c r="V21" i="45"/>
  <c r="U21" i="45"/>
  <c r="T21" i="45"/>
  <c r="S21" i="45"/>
  <c r="R21" i="45"/>
  <c r="Q21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AJ9" i="45"/>
  <c r="AI9" i="45"/>
  <c r="AH9" i="45"/>
  <c r="AG9" i="45"/>
  <c r="AF9" i="45"/>
  <c r="AE9" i="45"/>
  <c r="AD9" i="45"/>
  <c r="AC9" i="45"/>
  <c r="AB9" i="45"/>
  <c r="AA9" i="45"/>
  <c r="Z9" i="45"/>
  <c r="Y9" i="45"/>
  <c r="X9" i="45"/>
  <c r="W9" i="45"/>
  <c r="V9" i="45"/>
  <c r="U9" i="45"/>
  <c r="T9" i="45"/>
  <c r="S9" i="45"/>
  <c r="R9" i="45"/>
  <c r="Q9" i="45"/>
  <c r="P9" i="45"/>
  <c r="O9" i="45"/>
  <c r="N9" i="45"/>
  <c r="M9" i="45"/>
  <c r="L9" i="45"/>
  <c r="K9" i="45"/>
  <c r="J9" i="45"/>
  <c r="I9" i="45"/>
  <c r="H9" i="45"/>
  <c r="G9" i="45"/>
  <c r="F9" i="45"/>
  <c r="E9" i="45"/>
  <c r="D9" i="45"/>
  <c r="AR204" i="14" l="1"/>
  <c r="AI17" i="33" l="1"/>
  <c r="AH17" i="33"/>
  <c r="C17" i="33"/>
  <c r="AI21" i="31"/>
  <c r="AH21" i="31"/>
  <c r="C21" i="31"/>
  <c r="AI17" i="27"/>
  <c r="AH17" i="27"/>
  <c r="C17" i="27"/>
  <c r="AI17" i="25"/>
  <c r="AH17" i="25"/>
  <c r="C17" i="25"/>
  <c r="AI19" i="23"/>
  <c r="AH19" i="23"/>
  <c r="C19" i="23"/>
  <c r="C17" i="21"/>
  <c r="AQ17" i="21"/>
  <c r="AP17" i="21"/>
  <c r="AO17" i="21"/>
  <c r="AN17" i="21"/>
  <c r="AM17" i="21"/>
  <c r="AL17" i="21"/>
  <c r="AK17" i="21"/>
  <c r="AJ17" i="21"/>
  <c r="AI17" i="21"/>
  <c r="AH17" i="21"/>
  <c r="B15" i="33" l="1"/>
  <c r="B14" i="33"/>
  <c r="B13" i="33"/>
  <c r="B12" i="33"/>
  <c r="B11" i="33"/>
  <c r="C3" i="33"/>
  <c r="B19" i="31"/>
  <c r="B11" i="31"/>
  <c r="B18" i="31"/>
  <c r="B17" i="31"/>
  <c r="B16" i="31"/>
  <c r="B15" i="31"/>
  <c r="B14" i="31"/>
  <c r="B13" i="31"/>
  <c r="B12" i="31"/>
  <c r="C3" i="31"/>
  <c r="B15" i="27" l="1"/>
  <c r="B14" i="27"/>
  <c r="B13" i="27"/>
  <c r="B12" i="27"/>
  <c r="B11" i="27"/>
  <c r="C3" i="27"/>
  <c r="B14" i="25"/>
  <c r="B13" i="25"/>
  <c r="B15" i="25"/>
  <c r="B12" i="25"/>
  <c r="C3" i="25"/>
  <c r="B16" i="23"/>
  <c r="B15" i="23"/>
  <c r="B14" i="23"/>
  <c r="B13" i="23"/>
  <c r="B12" i="23"/>
  <c r="C3" i="23"/>
  <c r="B13" i="21"/>
  <c r="B14" i="21"/>
  <c r="B12" i="21"/>
  <c r="C3" i="21"/>
  <c r="AQ16" i="12" l="1"/>
  <c r="AN16" i="12"/>
  <c r="C3" i="14" l="1"/>
  <c r="C3" i="12"/>
  <c r="AJ233" i="14" l="1"/>
  <c r="AJ28" i="14" s="1"/>
  <c r="AL233" i="14"/>
  <c r="AO233" i="14"/>
  <c r="AR233" i="14"/>
  <c r="AP233" i="14"/>
  <c r="AQ233" i="14"/>
  <c r="AK233" i="14"/>
  <c r="AN233" i="14"/>
  <c r="AQ230" i="14"/>
  <c r="AM230" i="14"/>
  <c r="AO230" i="14"/>
  <c r="AN230" i="14"/>
  <c r="AP230" i="14"/>
  <c r="AL230" i="14"/>
  <c r="AR230" i="14"/>
  <c r="AJ230" i="14"/>
  <c r="AJ25" i="14" s="1"/>
  <c r="AK230" i="14"/>
  <c r="AK232" i="14"/>
  <c r="AN232" i="14"/>
  <c r="AJ232" i="14"/>
  <c r="AJ27" i="14" s="1"/>
  <c r="AP232" i="14"/>
  <c r="AO232" i="14"/>
  <c r="AR232" i="14"/>
  <c r="AL232" i="14"/>
  <c r="AQ232" i="14"/>
  <c r="AM232" i="14"/>
  <c r="AL229" i="14"/>
  <c r="AJ229" i="14"/>
  <c r="AQ229" i="14"/>
  <c r="AK229" i="14"/>
  <c r="AO229" i="14"/>
  <c r="AR229" i="14"/>
  <c r="AN229" i="14"/>
  <c r="AM229" i="14"/>
  <c r="AP229" i="14"/>
  <c r="AL231" i="14"/>
  <c r="AK231" i="14"/>
  <c r="AM231" i="14"/>
  <c r="AJ231" i="14"/>
  <c r="AJ26" i="14" s="1"/>
  <c r="AP231" i="14"/>
  <c r="AO231" i="14"/>
  <c r="AR231" i="14"/>
  <c r="AN231" i="14"/>
  <c r="AQ231" i="14"/>
  <c r="AI34" i="8" l="1"/>
  <c r="AI12" i="31" s="1"/>
  <c r="AI39" i="8"/>
  <c r="AI17" i="31" s="1"/>
  <c r="AA31" i="41"/>
  <c r="AA18" i="23" s="1"/>
  <c r="AI31" i="41"/>
  <c r="AI18" i="23" s="1"/>
  <c r="AH38" i="8"/>
  <c r="AH16" i="31" s="1"/>
  <c r="AI37" i="41"/>
  <c r="AI16" i="25" s="1"/>
  <c r="AE24" i="41"/>
  <c r="AE16" i="21" s="1"/>
  <c r="AF24" i="41"/>
  <c r="AF16" i="21" s="1"/>
  <c r="AJ37" i="41"/>
  <c r="AJ16" i="25" s="1"/>
  <c r="AD31" i="41"/>
  <c r="AD18" i="23" s="1"/>
  <c r="AG37" i="41"/>
  <c r="AG16" i="25" s="1"/>
  <c r="AJ31" i="41"/>
  <c r="AJ18" i="23" s="1"/>
  <c r="AI36" i="8"/>
  <c r="AI14" i="31" s="1"/>
  <c r="AK36" i="8"/>
  <c r="AK14" i="31" s="1"/>
  <c r="AK39" i="8"/>
  <c r="AK17" i="31" s="1"/>
  <c r="AJ24" i="41"/>
  <c r="AJ16" i="21" s="1"/>
  <c r="AI40" i="8"/>
  <c r="AI18" i="31" s="1"/>
  <c r="AK34" i="8"/>
  <c r="AK12" i="31" s="1"/>
  <c r="AK31" i="41"/>
  <c r="AK18" i="23" s="1"/>
  <c r="AK24" i="41"/>
  <c r="AK16" i="21" s="1"/>
  <c r="AI37" i="8"/>
  <c r="AI15" i="31" s="1"/>
  <c r="AB24" i="41"/>
  <c r="AB16" i="21" s="1"/>
  <c r="AE37" i="41"/>
  <c r="AE16" i="25" s="1"/>
  <c r="AH31" i="41"/>
  <c r="AH18" i="23" s="1"/>
  <c r="AF31" i="41"/>
  <c r="AF18" i="23" s="1"/>
  <c r="AC24" i="41"/>
  <c r="AC16" i="21" s="1"/>
  <c r="AK37" i="8"/>
  <c r="AK15" i="31" s="1"/>
  <c r="AC31" i="41"/>
  <c r="AC18" i="23" s="1"/>
  <c r="AH37" i="41"/>
  <c r="AH16" i="25" s="1"/>
  <c r="AE31" i="41"/>
  <c r="AE18" i="23" s="1"/>
  <c r="AB31" i="41"/>
  <c r="AB18" i="23" s="1"/>
  <c r="AG24" i="41"/>
  <c r="AG16" i="21" s="1"/>
  <c r="AF37" i="41"/>
  <c r="AF16" i="25" s="1"/>
  <c r="AA24" i="41"/>
  <c r="AA16" i="21" s="1"/>
  <c r="AD37" i="41"/>
  <c r="AD16" i="25" s="1"/>
  <c r="N50" i="8"/>
  <c r="AI24" i="41"/>
  <c r="AI16" i="21" s="1"/>
  <c r="AB37" i="41"/>
  <c r="AB16" i="25" s="1"/>
  <c r="AC37" i="41"/>
  <c r="AC16" i="25" s="1"/>
  <c r="AD24" i="41"/>
  <c r="AD16" i="21" s="1"/>
  <c r="AG31" i="41"/>
  <c r="AG18" i="23" s="1"/>
  <c r="AI17" i="8"/>
  <c r="AI14" i="23" s="1"/>
  <c r="AI53" i="8"/>
  <c r="AK46" i="8"/>
  <c r="AK14" i="33" s="1"/>
  <c r="AH16" i="8"/>
  <c r="AH13" i="23" s="1"/>
  <c r="AI38" i="8"/>
  <c r="AI16" i="31" s="1"/>
  <c r="H50" i="8"/>
  <c r="P51" i="8"/>
  <c r="AI12" i="8"/>
  <c r="AI14" i="21" s="1"/>
  <c r="AH46" i="8"/>
  <c r="AH14" i="33" s="1"/>
  <c r="AA37" i="41"/>
  <c r="AA16" i="25" s="1"/>
  <c r="AG49" i="8"/>
  <c r="AH40" i="8"/>
  <c r="AH18" i="31" s="1"/>
  <c r="P14" i="45"/>
  <c r="P6" i="45" s="1"/>
  <c r="P10" i="41" s="1"/>
  <c r="AL37" i="41"/>
  <c r="AD51" i="8"/>
  <c r="AH23" i="8"/>
  <c r="AH13" i="25" s="1"/>
  <c r="AK16" i="8"/>
  <c r="AK13" i="23" s="1"/>
  <c r="Y49" i="8"/>
  <c r="AH39" i="8"/>
  <c r="AH17" i="31" s="1"/>
  <c r="AK37" i="41"/>
  <c r="AK16" i="25" s="1"/>
  <c r="AL31" i="41"/>
  <c r="Y53" i="8"/>
  <c r="Y50" i="8"/>
  <c r="AI21" i="7"/>
  <c r="AH36" i="8"/>
  <c r="AH14" i="31" s="1"/>
  <c r="J53" i="8"/>
  <c r="AI52" i="8"/>
  <c r="AJ51" i="8"/>
  <c r="AI29" i="8"/>
  <c r="AI13" i="27" s="1"/>
  <c r="AH37" i="8"/>
  <c r="AH15" i="31" s="1"/>
  <c r="AC14" i="45"/>
  <c r="AC7" i="45" s="1"/>
  <c r="AI45" i="8"/>
  <c r="AI13" i="33" s="1"/>
  <c r="AL24" i="41"/>
  <c r="W14" i="45"/>
  <c r="W6" i="45" s="1"/>
  <c r="I49" i="8"/>
  <c r="I53" i="8"/>
  <c r="D51" i="8"/>
  <c r="D51" i="10" s="1"/>
  <c r="Z49" i="8"/>
  <c r="W52" i="8"/>
  <c r="AK44" i="8"/>
  <c r="AK12" i="33" s="1"/>
  <c r="E49" i="8"/>
  <c r="X53" i="8"/>
  <c r="AK38" i="8"/>
  <c r="AK16" i="31" s="1"/>
  <c r="AB49" i="8"/>
  <c r="Z52" i="8"/>
  <c r="T51" i="8"/>
  <c r="AH24" i="41"/>
  <c r="AH16" i="21" s="1"/>
  <c r="S14" i="45"/>
  <c r="S6" i="45" s="1"/>
  <c r="AI42" i="7"/>
  <c r="AA52" i="8"/>
  <c r="AH34" i="8"/>
  <c r="AH12" i="31" s="1"/>
  <c r="D53" i="8"/>
  <c r="R50" i="8"/>
  <c r="AH51" i="8"/>
  <c r="AJ24" i="14"/>
  <c r="AJ30" i="14" s="1"/>
  <c r="AJ217" i="14"/>
  <c r="AJ220" i="14"/>
  <c r="AJ219" i="14"/>
  <c r="AJ218" i="14"/>
  <c r="AJ221" i="14"/>
  <c r="D53" i="10"/>
  <c r="AD51" i="10" l="1"/>
  <c r="T51" i="10"/>
  <c r="X53" i="10"/>
  <c r="E52" i="8"/>
  <c r="AI53" i="10"/>
  <c r="AC6" i="45"/>
  <c r="AE52" i="8"/>
  <c r="L51" i="8"/>
  <c r="L51" i="10" s="1"/>
  <c r="N52" i="8"/>
  <c r="N51" i="8"/>
  <c r="N51" i="10" s="1"/>
  <c r="M50" i="8"/>
  <c r="R53" i="8"/>
  <c r="R53" i="10" s="1"/>
  <c r="AH44" i="8"/>
  <c r="AH12" i="33" s="1"/>
  <c r="H51" i="8"/>
  <c r="H51" i="10" s="1"/>
  <c r="O53" i="8"/>
  <c r="O53" i="10" s="1"/>
  <c r="AH21" i="7"/>
  <c r="S10" i="41"/>
  <c r="AH51" i="10"/>
  <c r="I53" i="10"/>
  <c r="AF51" i="8"/>
  <c r="AF51" i="10" s="1"/>
  <c r="Y52" i="8"/>
  <c r="AI46" i="8"/>
  <c r="AI14" i="33" s="1"/>
  <c r="AJ51" i="10"/>
  <c r="J52" i="8"/>
  <c r="AH42" i="3"/>
  <c r="P53" i="8"/>
  <c r="P53" i="10" s="1"/>
  <c r="AK42" i="7"/>
  <c r="O52" i="8"/>
  <c r="U53" i="8"/>
  <c r="U53" i="10" s="1"/>
  <c r="AI48" i="6"/>
  <c r="AE50" i="8"/>
  <c r="Z50" i="8"/>
  <c r="AC52" i="8"/>
  <c r="AH24" i="8"/>
  <c r="AH14" i="25" s="1"/>
  <c r="V52" i="8"/>
  <c r="AK19" i="8"/>
  <c r="AK16" i="23" s="1"/>
  <c r="P51" i="10"/>
  <c r="AG52" i="8"/>
  <c r="AH42" i="7"/>
  <c r="AH53" i="8"/>
  <c r="AH53" i="10" s="1"/>
  <c r="E51" i="8"/>
  <c r="E51" i="10" s="1"/>
  <c r="AC49" i="8"/>
  <c r="I14" i="45"/>
  <c r="I6" i="45" s="1"/>
  <c r="G53" i="8"/>
  <c r="G53" i="10" s="1"/>
  <c r="U14" i="45"/>
  <c r="U6" i="45" s="1"/>
  <c r="U10" i="41" s="1"/>
  <c r="T49" i="8"/>
  <c r="Q53" i="8"/>
  <c r="Q53" i="10" s="1"/>
  <c r="R49" i="8"/>
  <c r="Y14" i="45"/>
  <c r="Y6" i="45" s="1"/>
  <c r="N53" i="8"/>
  <c r="N53" i="10" s="1"/>
  <c r="AI54" i="8"/>
  <c r="AK32" i="7"/>
  <c r="AJ14" i="45"/>
  <c r="AF53" i="8"/>
  <c r="AF53" i="10" s="1"/>
  <c r="AE53" i="8"/>
  <c r="AE53" i="10" s="1"/>
  <c r="J50" i="8"/>
  <c r="T14" i="45"/>
  <c r="T6" i="45" s="1"/>
  <c r="T10" i="41" s="1"/>
  <c r="H53" i="8"/>
  <c r="AG50" i="8"/>
  <c r="AL36" i="8"/>
  <c r="AH27" i="8"/>
  <c r="AH26" i="6"/>
  <c r="AI21" i="3"/>
  <c r="AI22" i="8"/>
  <c r="AL34" i="8"/>
  <c r="W10" i="41"/>
  <c r="S7" i="45"/>
  <c r="AA53" i="8"/>
  <c r="AA53" i="10" s="1"/>
  <c r="G14" i="45"/>
  <c r="AF50" i="8"/>
  <c r="AE51" i="8"/>
  <c r="AE51" i="10" s="1"/>
  <c r="AI32" i="6"/>
  <c r="AI35" i="8"/>
  <c r="AI13" i="31" s="1"/>
  <c r="P49" i="8"/>
  <c r="D14" i="45"/>
  <c r="AH28" i="8"/>
  <c r="AH12" i="27" s="1"/>
  <c r="AI33" i="8"/>
  <c r="AI32" i="3"/>
  <c r="AI15" i="8"/>
  <c r="AI14" i="3"/>
  <c r="AF14" i="45"/>
  <c r="AH19" i="8"/>
  <c r="AH16" i="23" s="1"/>
  <c r="AL48" i="6"/>
  <c r="AK42" i="3"/>
  <c r="E53" i="8"/>
  <c r="E53" i="10" s="1"/>
  <c r="Z14" i="45"/>
  <c r="AH15" i="8"/>
  <c r="AH14" i="7"/>
  <c r="AK52" i="8"/>
  <c r="AK32" i="6"/>
  <c r="AL21" i="7"/>
  <c r="AL42" i="7"/>
  <c r="S53" i="8"/>
  <c r="S53" i="10" s="1"/>
  <c r="K53" i="8"/>
  <c r="K53" i="10" s="1"/>
  <c r="AK22" i="8"/>
  <c r="AK21" i="3"/>
  <c r="AH9" i="6"/>
  <c r="O50" i="8"/>
  <c r="R14" i="45"/>
  <c r="Q50" i="8"/>
  <c r="AL26" i="7"/>
  <c r="AL32" i="7"/>
  <c r="AL32" i="6"/>
  <c r="F51" i="8"/>
  <c r="F51" i="10" s="1"/>
  <c r="D49" i="8"/>
  <c r="Z49" i="10" s="1"/>
  <c r="AL14" i="45"/>
  <c r="X52" i="8"/>
  <c r="AI16" i="8"/>
  <c r="AI13" i="23" s="1"/>
  <c r="AH35" i="8"/>
  <c r="AH13" i="31" s="1"/>
  <c r="AH26" i="3"/>
  <c r="AH43" i="8"/>
  <c r="AH42" i="6"/>
  <c r="AK48" i="3"/>
  <c r="AK49" i="8"/>
  <c r="AI14" i="6"/>
  <c r="AH33" i="8"/>
  <c r="AH32" i="3"/>
  <c r="AL37" i="8"/>
  <c r="AE14" i="45"/>
  <c r="AK28" i="8"/>
  <c r="AK12" i="27" s="1"/>
  <c r="AL23" i="8"/>
  <c r="AI30" i="8"/>
  <c r="AI14" i="27" s="1"/>
  <c r="AE49" i="8"/>
  <c r="AE49" i="10" s="1"/>
  <c r="N49" i="8"/>
  <c r="W51" i="8"/>
  <c r="W51" i="10" s="1"/>
  <c r="AI23" i="8"/>
  <c r="AI13" i="25" s="1"/>
  <c r="Y53" i="10"/>
  <c r="AH29" i="8"/>
  <c r="AH13" i="27" s="1"/>
  <c r="AH48" i="3"/>
  <c r="AH49" i="8"/>
  <c r="AG51" i="8"/>
  <c r="AG51" i="10" s="1"/>
  <c r="AI18" i="8"/>
  <c r="AI15" i="23" s="1"/>
  <c r="AH18" i="8"/>
  <c r="AH15" i="23" s="1"/>
  <c r="V53" i="8"/>
  <c r="V53" i="10" s="1"/>
  <c r="AL49" i="8"/>
  <c r="AL48" i="3"/>
  <c r="L52" i="8"/>
  <c r="AF49" i="8"/>
  <c r="P52" i="8"/>
  <c r="AI26" i="7"/>
  <c r="AB50" i="8"/>
  <c r="AB50" i="10" s="1"/>
  <c r="AH10" i="8"/>
  <c r="AH9" i="3"/>
  <c r="F53" i="8"/>
  <c r="F53" i="10" s="1"/>
  <c r="Q14" i="45"/>
  <c r="AJ50" i="8"/>
  <c r="AK40" i="8"/>
  <c r="AK18" i="31" s="1"/>
  <c r="G52" i="8"/>
  <c r="M52" i="8"/>
  <c r="AI21" i="6"/>
  <c r="AK21" i="7"/>
  <c r="AK9" i="6"/>
  <c r="AH21" i="6"/>
  <c r="X50" i="8"/>
  <c r="AC51" i="8"/>
  <c r="AC51" i="10" s="1"/>
  <c r="AI24" i="8"/>
  <c r="AI14" i="25" s="1"/>
  <c r="AK26" i="7"/>
  <c r="AK9" i="7"/>
  <c r="M49" i="8"/>
  <c r="AL54" i="8"/>
  <c r="AL38" i="8"/>
  <c r="AA14" i="45"/>
  <c r="AL14" i="7"/>
  <c r="K52" i="8"/>
  <c r="F52" i="8"/>
  <c r="AL28" i="8"/>
  <c r="W49" i="8"/>
  <c r="AI26" i="3"/>
  <c r="AI27" i="8"/>
  <c r="AK14" i="3"/>
  <c r="AI51" i="8"/>
  <c r="AI51" i="10" s="1"/>
  <c r="AI28" i="8"/>
  <c r="AI12" i="27" s="1"/>
  <c r="J53" i="10"/>
  <c r="F50" i="8"/>
  <c r="AL44" i="8"/>
  <c r="K14" i="45"/>
  <c r="Z53" i="8"/>
  <c r="Z53" i="10" s="1"/>
  <c r="AL24" i="8"/>
  <c r="J49" i="8"/>
  <c r="J49" i="10" s="1"/>
  <c r="AK50" i="8"/>
  <c r="AH48" i="6"/>
  <c r="F14" i="45"/>
  <c r="AL17" i="8"/>
  <c r="AB51" i="8"/>
  <c r="AB51" i="10" s="1"/>
  <c r="AI11" i="8"/>
  <c r="AI13" i="21" s="1"/>
  <c r="Q49" i="8"/>
  <c r="Q49" i="10" s="1"/>
  <c r="W50" i="8"/>
  <c r="AL14" i="6"/>
  <c r="O49" i="8"/>
  <c r="O49" i="10" s="1"/>
  <c r="AH50" i="8"/>
  <c r="AH9" i="7"/>
  <c r="I50" i="8"/>
  <c r="I50" i="10" s="1"/>
  <c r="AG14" i="45"/>
  <c r="AL48" i="7"/>
  <c r="J51" i="8"/>
  <c r="J51" i="10" s="1"/>
  <c r="AK53" i="8"/>
  <c r="AK53" i="10" s="1"/>
  <c r="G49" i="8"/>
  <c r="G49" i="10" s="1"/>
  <c r="K51" i="8"/>
  <c r="K51" i="10" s="1"/>
  <c r="R52" i="8"/>
  <c r="AL35" i="8"/>
  <c r="AD52" i="8"/>
  <c r="AL53" i="8"/>
  <c r="AL9" i="3"/>
  <c r="AL10" i="8"/>
  <c r="AK15" i="8"/>
  <c r="AK14" i="6"/>
  <c r="H49" i="8"/>
  <c r="H49" i="10" s="1"/>
  <c r="AL51" i="8"/>
  <c r="T53" i="8"/>
  <c r="T53" i="10" s="1"/>
  <c r="I51" i="8"/>
  <c r="I51" i="10" s="1"/>
  <c r="M14" i="45"/>
  <c r="Y51" i="8"/>
  <c r="Y51" i="10" s="1"/>
  <c r="J14" i="45"/>
  <c r="AH54" i="8"/>
  <c r="AL18" i="8"/>
  <c r="U50" i="8"/>
  <c r="X51" i="8"/>
  <c r="X51" i="10" s="1"/>
  <c r="H14" i="45"/>
  <c r="AL26" i="6"/>
  <c r="V14" i="45"/>
  <c r="AI9" i="7"/>
  <c r="AH11" i="8"/>
  <c r="AH13" i="21" s="1"/>
  <c r="AB14" i="45"/>
  <c r="AI32" i="7"/>
  <c r="U52" i="8"/>
  <c r="AL46" i="8"/>
  <c r="Q52" i="8"/>
  <c r="AJ49" i="8"/>
  <c r="W7" i="45"/>
  <c r="T7" i="45"/>
  <c r="S51" i="8"/>
  <c r="S51" i="10" s="1"/>
  <c r="S50" i="8"/>
  <c r="T52" i="8"/>
  <c r="D50" i="8"/>
  <c r="R50" i="10" s="1"/>
  <c r="AI48" i="3"/>
  <c r="AI49" i="8"/>
  <c r="E14" i="45"/>
  <c r="AL43" i="8"/>
  <c r="AL42" i="6"/>
  <c r="X14" i="45"/>
  <c r="S52" i="8"/>
  <c r="AH48" i="7"/>
  <c r="AI14" i="7"/>
  <c r="U51" i="8"/>
  <c r="U51" i="10" s="1"/>
  <c r="AK43" i="8"/>
  <c r="AK42" i="6"/>
  <c r="AB52" i="8"/>
  <c r="AL42" i="3"/>
  <c r="G51" i="8"/>
  <c r="G51" i="10" s="1"/>
  <c r="L14" i="45"/>
  <c r="AI19" i="8"/>
  <c r="AI16" i="23" s="1"/>
  <c r="AL14" i="3"/>
  <c r="AL15" i="8"/>
  <c r="AC53" i="8"/>
  <c r="AC53" i="10" s="1"/>
  <c r="AH45" i="8"/>
  <c r="AH13" i="33" s="1"/>
  <c r="T50" i="8"/>
  <c r="AL9" i="7"/>
  <c r="AK33" i="8"/>
  <c r="AK32" i="3"/>
  <c r="AL16" i="8"/>
  <c r="W53" i="8"/>
  <c r="W53" i="10" s="1"/>
  <c r="AK17" i="8"/>
  <c r="AK14" i="23" s="1"/>
  <c r="E50" i="8"/>
  <c r="AK27" i="8"/>
  <c r="AK26" i="3"/>
  <c r="AL30" i="8"/>
  <c r="AK23" i="8"/>
  <c r="AK13" i="25" s="1"/>
  <c r="AK11" i="8"/>
  <c r="AK13" i="21" s="1"/>
  <c r="R51" i="8"/>
  <c r="R51" i="10" s="1"/>
  <c r="AL9" i="6"/>
  <c r="M53" i="8"/>
  <c r="M53" i="10" s="1"/>
  <c r="AL22" i="8"/>
  <c r="AL21" i="3"/>
  <c r="AH17" i="8"/>
  <c r="AH14" i="23" s="1"/>
  <c r="H53" i="10"/>
  <c r="L50" i="8"/>
  <c r="L50" i="10" s="1"/>
  <c r="AJ52" i="8"/>
  <c r="AL52" i="8"/>
  <c r="AA51" i="8"/>
  <c r="AA51" i="10" s="1"/>
  <c r="AK45" i="8"/>
  <c r="AK13" i="33" s="1"/>
  <c r="AC50" i="8"/>
  <c r="AK14" i="45"/>
  <c r="H52" i="8"/>
  <c r="AB53" i="8"/>
  <c r="AB53" i="10" s="1"/>
  <c r="AL50" i="8"/>
  <c r="F49" i="8"/>
  <c r="F49" i="10" s="1"/>
  <c r="AD50" i="8"/>
  <c r="AD50" i="10" s="1"/>
  <c r="M51" i="8"/>
  <c r="M51" i="10" s="1"/>
  <c r="N14" i="45"/>
  <c r="AK18" i="8"/>
  <c r="AK15" i="23" s="1"/>
  <c r="AI48" i="7"/>
  <c r="AL11" i="8"/>
  <c r="AL29" i="8"/>
  <c r="V50" i="8"/>
  <c r="V50" i="10" s="1"/>
  <c r="AL12" i="8"/>
  <c r="Z51" i="8"/>
  <c r="Z51" i="10" s="1"/>
  <c r="AL39" i="8"/>
  <c r="AI42" i="3"/>
  <c r="AK51" i="8"/>
  <c r="AG53" i="8"/>
  <c r="AG53" i="10" s="1"/>
  <c r="AH26" i="7"/>
  <c r="O14" i="45"/>
  <c r="AD53" i="8"/>
  <c r="AD53" i="10" s="1"/>
  <c r="P50" i="8"/>
  <c r="AH14" i="6"/>
  <c r="AL27" i="8"/>
  <c r="AL26" i="3"/>
  <c r="AH12" i="8"/>
  <c r="AH14" i="21" s="1"/>
  <c r="L53" i="8"/>
  <c r="L53" i="10" s="1"/>
  <c r="AK35" i="8"/>
  <c r="AK13" i="31" s="1"/>
  <c r="AI50" i="8"/>
  <c r="AH14" i="45"/>
  <c r="AH32" i="6"/>
  <c r="AL21" i="6"/>
  <c r="AK26" i="6"/>
  <c r="I52" i="8"/>
  <c r="P7" i="45"/>
  <c r="AL45" i="8"/>
  <c r="AL33" i="8"/>
  <c r="AL32" i="3"/>
  <c r="AK29" i="8"/>
  <c r="AK13" i="27" s="1"/>
  <c r="L49" i="8"/>
  <c r="D52" i="8"/>
  <c r="J52" i="10" s="1"/>
  <c r="AD14" i="45"/>
  <c r="K49" i="8"/>
  <c r="K49" i="10" s="1"/>
  <c r="K50" i="8"/>
  <c r="AH52" i="8"/>
  <c r="AA49" i="8"/>
  <c r="Q51" i="8"/>
  <c r="Q51" i="10" s="1"/>
  <c r="G50" i="8"/>
  <c r="AK54" i="8"/>
  <c r="AK30" i="8"/>
  <c r="AK14" i="27" s="1"/>
  <c r="AI44" i="8"/>
  <c r="AI12" i="33" s="1"/>
  <c r="AK24" i="8"/>
  <c r="AK14" i="25" s="1"/>
  <c r="AI9" i="3"/>
  <c r="AI10" i="8"/>
  <c r="AA50" i="8"/>
  <c r="AA50" i="10" s="1"/>
  <c r="AI43" i="8"/>
  <c r="AI42" i="6"/>
  <c r="AK12" i="8"/>
  <c r="AK14" i="21" s="1"/>
  <c r="AJ53" i="8"/>
  <c r="AJ53" i="10" s="1"/>
  <c r="AH30" i="8"/>
  <c r="AH14" i="27" s="1"/>
  <c r="U49" i="8"/>
  <c r="U49" i="10" s="1"/>
  <c r="AH21" i="3"/>
  <c r="AH22" i="8"/>
  <c r="AI9" i="6"/>
  <c r="AK14" i="7"/>
  <c r="AF52" i="8"/>
  <c r="AI26" i="6"/>
  <c r="AI14" i="45"/>
  <c r="V49" i="8"/>
  <c r="V49" i="10" s="1"/>
  <c r="AK48" i="6"/>
  <c r="AK48" i="7"/>
  <c r="O51" i="8"/>
  <c r="O51" i="10" s="1"/>
  <c r="AD49" i="8"/>
  <c r="AK21" i="6"/>
  <c r="AH32" i="7"/>
  <c r="X49" i="8"/>
  <c r="X49" i="10" s="1"/>
  <c r="AL19" i="8"/>
  <c r="V51" i="8"/>
  <c r="V51" i="10" s="1"/>
  <c r="AK10" i="8"/>
  <c r="AK9" i="3"/>
  <c r="S49" i="8"/>
  <c r="S49" i="10" s="1"/>
  <c r="AL40" i="8"/>
  <c r="AH14" i="3"/>
  <c r="AC10" i="41"/>
  <c r="AO221" i="14"/>
  <c r="AN221" i="14"/>
  <c r="AL221" i="14"/>
  <c r="AP221" i="14"/>
  <c r="AM221" i="14"/>
  <c r="AR221" i="14"/>
  <c r="AQ221" i="14"/>
  <c r="AK221" i="14"/>
  <c r="AK209" i="14" s="1"/>
  <c r="AK28" i="14" s="1"/>
  <c r="AL220" i="14"/>
  <c r="AK220" i="14"/>
  <c r="AR220" i="14"/>
  <c r="AQ220" i="14"/>
  <c r="AP220" i="14"/>
  <c r="AO220" i="14"/>
  <c r="AN220" i="14"/>
  <c r="AM220" i="14"/>
  <c r="AO217" i="14"/>
  <c r="AN217" i="14"/>
  <c r="AM217" i="14"/>
  <c r="AL217" i="14"/>
  <c r="AR217" i="14"/>
  <c r="AQ217" i="14"/>
  <c r="AP217" i="14"/>
  <c r="AK217" i="14"/>
  <c r="AR218" i="14"/>
  <c r="AQ218" i="14"/>
  <c r="AO218" i="14"/>
  <c r="AM218" i="14"/>
  <c r="AL218" i="14"/>
  <c r="AK218" i="14"/>
  <c r="AP218" i="14"/>
  <c r="AN218" i="14"/>
  <c r="AR219" i="14"/>
  <c r="AP219" i="14"/>
  <c r="AO219" i="14"/>
  <c r="AN219" i="14"/>
  <c r="AM219" i="14"/>
  <c r="AL219" i="14"/>
  <c r="AK219" i="14"/>
  <c r="AQ219" i="14"/>
  <c r="AJ17" i="25"/>
  <c r="AJ21" i="31"/>
  <c r="AJ17" i="27"/>
  <c r="AJ17" i="33"/>
  <c r="AJ19" i="23"/>
  <c r="E50" i="10" l="1"/>
  <c r="I7" i="45"/>
  <c r="Y10" i="41"/>
  <c r="AI50" i="10"/>
  <c r="U7" i="45"/>
  <c r="AF49" i="10"/>
  <c r="Y7" i="45"/>
  <c r="AK50" i="10"/>
  <c r="AJ6" i="45"/>
  <c r="AJ7" i="45"/>
  <c r="K50" i="10"/>
  <c r="AD6" i="45"/>
  <c r="AD7" i="45"/>
  <c r="AL51" i="10"/>
  <c r="AL13" i="33"/>
  <c r="AL13" i="21"/>
  <c r="AK11" i="33"/>
  <c r="AK42" i="8"/>
  <c r="E6" i="45"/>
  <c r="E7" i="45"/>
  <c r="P50" i="10"/>
  <c r="AL13" i="23"/>
  <c r="I52" i="10"/>
  <c r="AD49" i="10"/>
  <c r="AI6" i="6"/>
  <c r="AI8" i="41" s="1"/>
  <c r="AI7" i="6"/>
  <c r="AA49" i="10"/>
  <c r="AL14" i="21"/>
  <c r="J6" i="45"/>
  <c r="J7" i="45"/>
  <c r="AH50" i="10"/>
  <c r="F7" i="45"/>
  <c r="F6" i="45"/>
  <c r="K7" i="45"/>
  <c r="K6" i="45"/>
  <c r="AL12" i="27"/>
  <c r="Q7" i="45"/>
  <c r="Q6" i="45"/>
  <c r="AL7" i="45"/>
  <c r="AL6" i="45"/>
  <c r="AK52" i="10"/>
  <c r="AK7" i="3"/>
  <c r="AK6" i="3"/>
  <c r="AK7" i="41" s="1"/>
  <c r="AH12" i="25"/>
  <c r="AH21" i="8"/>
  <c r="I10" i="41"/>
  <c r="AK32" i="8"/>
  <c r="AK11" i="31"/>
  <c r="L7" i="45"/>
  <c r="L6" i="45"/>
  <c r="D50" i="10"/>
  <c r="J50" i="10"/>
  <c r="AG50" i="10"/>
  <c r="M50" i="10"/>
  <c r="N50" i="10"/>
  <c r="H50" i="10"/>
  <c r="Q52" i="10"/>
  <c r="AL9" i="8"/>
  <c r="AL12" i="21"/>
  <c r="AL16" i="31"/>
  <c r="AL48" i="8"/>
  <c r="AL49" i="10"/>
  <c r="AL13" i="25"/>
  <c r="AH11" i="31"/>
  <c r="AH32" i="8"/>
  <c r="AF50" i="10"/>
  <c r="AE52" i="10"/>
  <c r="AK12" i="21"/>
  <c r="AK9" i="8"/>
  <c r="AL21" i="8"/>
  <c r="AL12" i="25"/>
  <c r="AL14" i="27"/>
  <c r="AL7" i="7"/>
  <c r="AL6" i="7"/>
  <c r="S52" i="10"/>
  <c r="T52" i="10"/>
  <c r="M6" i="45"/>
  <c r="M7" i="45"/>
  <c r="AL6" i="3"/>
  <c r="AL7" i="3"/>
  <c r="AL12" i="33"/>
  <c r="AH7" i="3"/>
  <c r="AH6" i="3"/>
  <c r="AH7" i="41" s="1"/>
  <c r="R49" i="10"/>
  <c r="AG49" i="10"/>
  <c r="AC49" i="10"/>
  <c r="D49" i="10"/>
  <c r="AH12" i="23"/>
  <c r="AH14" i="8"/>
  <c r="AF6" i="45"/>
  <c r="AF7" i="45"/>
  <c r="G7" i="45"/>
  <c r="G6" i="45"/>
  <c r="Y49" i="10"/>
  <c r="E49" i="10"/>
  <c r="AI12" i="21"/>
  <c r="AI9" i="8"/>
  <c r="AH52" i="10"/>
  <c r="AK51" i="10"/>
  <c r="X7" i="45"/>
  <c r="X6" i="45"/>
  <c r="AI7" i="7"/>
  <c r="AI6" i="7"/>
  <c r="AI9" i="41" s="1"/>
  <c r="F52" i="10"/>
  <c r="AK7" i="6"/>
  <c r="AK6" i="6"/>
  <c r="AK8" i="41" s="1"/>
  <c r="AH12" i="21"/>
  <c r="AH9" i="8"/>
  <c r="AK48" i="8"/>
  <c r="AK49" i="10"/>
  <c r="Q50" i="10"/>
  <c r="Z50" i="10"/>
  <c r="AL13" i="27"/>
  <c r="AL50" i="10"/>
  <c r="AL52" i="10"/>
  <c r="F50" i="10"/>
  <c r="R7" i="45"/>
  <c r="R6" i="45"/>
  <c r="AI12" i="23"/>
  <c r="AI14" i="8"/>
  <c r="AE50" i="10"/>
  <c r="AI7" i="3"/>
  <c r="AI6" i="3"/>
  <c r="AI7" i="41" s="1"/>
  <c r="AL18" i="31"/>
  <c r="AL16" i="23"/>
  <c r="AL11" i="31"/>
  <c r="AL32" i="8"/>
  <c r="AK11" i="27"/>
  <c r="AK26" i="8"/>
  <c r="T50" i="10"/>
  <c r="S50" i="10"/>
  <c r="V7" i="45"/>
  <c r="V6" i="45"/>
  <c r="U50" i="10"/>
  <c r="AL53" i="10"/>
  <c r="W50" i="10"/>
  <c r="M49" i="10"/>
  <c r="N49" i="10"/>
  <c r="O50" i="10"/>
  <c r="Z6" i="45"/>
  <c r="Z7" i="45"/>
  <c r="AB49" i="10"/>
  <c r="O52" i="10"/>
  <c r="AL7" i="6"/>
  <c r="AL6" i="6"/>
  <c r="AB52" i="10"/>
  <c r="AL14" i="33"/>
  <c r="AL15" i="23"/>
  <c r="AL14" i="25"/>
  <c r="K52" i="10"/>
  <c r="AK6" i="7"/>
  <c r="AK9" i="41" s="1"/>
  <c r="AK7" i="7"/>
  <c r="AE6" i="45"/>
  <c r="AE7" i="45"/>
  <c r="AH11" i="33"/>
  <c r="AH42" i="8"/>
  <c r="AH6" i="6"/>
  <c r="AH8" i="41" s="1"/>
  <c r="AH7" i="6"/>
  <c r="AI11" i="31"/>
  <c r="AI32" i="8"/>
  <c r="AG52" i="10"/>
  <c r="AL26" i="8"/>
  <c r="AL11" i="27"/>
  <c r="N52" i="10"/>
  <c r="V52" i="10"/>
  <c r="AA52" i="10"/>
  <c r="D52" i="10"/>
  <c r="Z52" i="10"/>
  <c r="W52" i="10"/>
  <c r="AI52" i="10"/>
  <c r="AC52" i="10"/>
  <c r="H52" i="10"/>
  <c r="AJ52" i="10"/>
  <c r="AL11" i="33"/>
  <c r="AL42" i="8"/>
  <c r="AD52" i="10"/>
  <c r="AG6" i="45"/>
  <c r="AG7" i="45"/>
  <c r="Y52" i="10"/>
  <c r="AI7" i="45"/>
  <c r="AI6" i="45"/>
  <c r="M52" i="10"/>
  <c r="P52" i="10"/>
  <c r="AK12" i="25"/>
  <c r="AK21" i="8"/>
  <c r="D7" i="45"/>
  <c r="D6" i="45"/>
  <c r="AL12" i="31"/>
  <c r="AH11" i="27"/>
  <c r="AH26" i="8"/>
  <c r="I49" i="10"/>
  <c r="AH7" i="45"/>
  <c r="AH6" i="45"/>
  <c r="AK6" i="45"/>
  <c r="AK7" i="45"/>
  <c r="AL12" i="23"/>
  <c r="AL14" i="8"/>
  <c r="AF52" i="10"/>
  <c r="Y50" i="10"/>
  <c r="U52" i="10"/>
  <c r="AL17" i="31"/>
  <c r="AI11" i="27"/>
  <c r="AI26" i="8"/>
  <c r="G52" i="10"/>
  <c r="AL15" i="31"/>
  <c r="P49" i="10"/>
  <c r="G50" i="10"/>
  <c r="L49" i="10"/>
  <c r="AJ49" i="10"/>
  <c r="AA6" i="45"/>
  <c r="AA7" i="45"/>
  <c r="L52" i="10"/>
  <c r="T49" i="10"/>
  <c r="AB7" i="45"/>
  <c r="AB6" i="45"/>
  <c r="AK12" i="23"/>
  <c r="AK14" i="8"/>
  <c r="AL13" i="31"/>
  <c r="AL14" i="23"/>
  <c r="X52" i="10"/>
  <c r="AL14" i="31"/>
  <c r="AI11" i="33"/>
  <c r="AI42" i="8"/>
  <c r="O6" i="45"/>
  <c r="O7" i="45"/>
  <c r="N6" i="45"/>
  <c r="N7" i="45"/>
  <c r="AC50" i="10"/>
  <c r="AI48" i="8"/>
  <c r="AI49" i="10"/>
  <c r="H6" i="45"/>
  <c r="H7" i="45"/>
  <c r="R52" i="10"/>
  <c r="AH7" i="7"/>
  <c r="AH6" i="7"/>
  <c r="AH9" i="41" s="1"/>
  <c r="W49" i="10"/>
  <c r="X50" i="10"/>
  <c r="AJ50" i="10"/>
  <c r="AH48" i="8"/>
  <c r="AH49" i="10"/>
  <c r="AI12" i="25"/>
  <c r="AI21" i="8"/>
  <c r="E52" i="10"/>
  <c r="AK205" i="14"/>
  <c r="AK24" i="14" s="1"/>
  <c r="AK208" i="14"/>
  <c r="AK206" i="14"/>
  <c r="AK207" i="14"/>
  <c r="AP205" i="14"/>
  <c r="AP207" i="14"/>
  <c r="AR208" i="14"/>
  <c r="AR205" i="14"/>
  <c r="AL208" i="14"/>
  <c r="AN206" i="14"/>
  <c r="AL205" i="14"/>
  <c r="AP206" i="14"/>
  <c r="AR209" i="14"/>
  <c r="AN207" i="14"/>
  <c r="AQ208" i="14"/>
  <c r="AO207" i="14"/>
  <c r="AQ205" i="14"/>
  <c r="AR207" i="14"/>
  <c r="AM205" i="14"/>
  <c r="AQ209" i="14"/>
  <c r="AN205" i="14"/>
  <c r="AL206" i="14"/>
  <c r="AO205" i="14"/>
  <c r="AQ207" i="14"/>
  <c r="AM206" i="14"/>
  <c r="AM208" i="14"/>
  <c r="AP209" i="14"/>
  <c r="AO206" i="14"/>
  <c r="AN208" i="14"/>
  <c r="AL209" i="14"/>
  <c r="AL207" i="14"/>
  <c r="AQ206" i="14"/>
  <c r="AO208" i="14"/>
  <c r="AN209" i="14"/>
  <c r="AM207" i="14"/>
  <c r="AR206" i="14"/>
  <c r="AP208" i="14"/>
  <c r="AO209" i="14"/>
  <c r="AJ10" i="41" l="1"/>
  <c r="AI19" i="31"/>
  <c r="AI14" i="12"/>
  <c r="AI16" i="14"/>
  <c r="AI17" i="41"/>
  <c r="AL16" i="14"/>
  <c r="AL40" i="14" s="1"/>
  <c r="AL19" i="31"/>
  <c r="AL17" i="41"/>
  <c r="AL14" i="12"/>
  <c r="AH30" i="41"/>
  <c r="AH13" i="14"/>
  <c r="AH14" i="41"/>
  <c r="AH11" i="12"/>
  <c r="AH17" i="23"/>
  <c r="AK18" i="41"/>
  <c r="AK15" i="33"/>
  <c r="AK17" i="14"/>
  <c r="AK41" i="14" s="1"/>
  <c r="AK197" i="14" s="1"/>
  <c r="C14" i="44"/>
  <c r="AK15" i="12"/>
  <c r="AI16" i="41"/>
  <c r="AI13" i="12"/>
  <c r="AI15" i="14"/>
  <c r="AI15" i="27"/>
  <c r="D10" i="41"/>
  <c r="C15" i="44"/>
  <c r="L10" i="41"/>
  <c r="K10" i="41"/>
  <c r="N10" i="41"/>
  <c r="AA10" i="41"/>
  <c r="AH10" i="12"/>
  <c r="AH13" i="41"/>
  <c r="AH6" i="8"/>
  <c r="AH42" i="9" s="1"/>
  <c r="AH15" i="21"/>
  <c r="AH7" i="8"/>
  <c r="AH23" i="41"/>
  <c r="AH12" i="14"/>
  <c r="AH16" i="14"/>
  <c r="AH14" i="12"/>
  <c r="AH19" i="31"/>
  <c r="AH17" i="41"/>
  <c r="AK12" i="12"/>
  <c r="AK14" i="14"/>
  <c r="AK38" i="14" s="1"/>
  <c r="AK194" i="14" s="1"/>
  <c r="AK36" i="41"/>
  <c r="AK15" i="25"/>
  <c r="AK15" i="41"/>
  <c r="C11" i="44"/>
  <c r="AG10" i="41"/>
  <c r="AL7" i="41"/>
  <c r="F10" i="41"/>
  <c r="AH17" i="14"/>
  <c r="AH18" i="41"/>
  <c r="AH15" i="33"/>
  <c r="AH15" i="12"/>
  <c r="AI11" i="12"/>
  <c r="AI14" i="41"/>
  <c r="AI30" i="41"/>
  <c r="AI17" i="23"/>
  <c r="AI13" i="14"/>
  <c r="AI15" i="21"/>
  <c r="AI23" i="41"/>
  <c r="AI6" i="8"/>
  <c r="AI12" i="14"/>
  <c r="AI13" i="41"/>
  <c r="AI10" i="12"/>
  <c r="AI7" i="8"/>
  <c r="AL15" i="21"/>
  <c r="AL23" i="41"/>
  <c r="AL10" i="12"/>
  <c r="AL6" i="8"/>
  <c r="AL32" i="9" s="1"/>
  <c r="AL12" i="14"/>
  <c r="AL7" i="8"/>
  <c r="AL13" i="41"/>
  <c r="AK17" i="41"/>
  <c r="AK14" i="12"/>
  <c r="C13" i="44"/>
  <c r="AK19" i="31"/>
  <c r="AK16" i="14"/>
  <c r="AK40" i="14" s="1"/>
  <c r="AL10" i="41"/>
  <c r="O10" i="41"/>
  <c r="AK10" i="41"/>
  <c r="AI15" i="12"/>
  <c r="AI17" i="14"/>
  <c r="AM233" i="14" s="1"/>
  <c r="AM209" i="14" s="1"/>
  <c r="AI18" i="41"/>
  <c r="AI15" i="33"/>
  <c r="AK30" i="41"/>
  <c r="AK14" i="41"/>
  <c r="AK11" i="12"/>
  <c r="AK13" i="14"/>
  <c r="AK37" i="14" s="1"/>
  <c r="AK193" i="14" s="1"/>
  <c r="AK17" i="23"/>
  <c r="C10" i="44"/>
  <c r="AH10" i="41"/>
  <c r="AL15" i="12"/>
  <c r="AL15" i="33"/>
  <c r="AL18" i="41"/>
  <c r="AL17" i="14"/>
  <c r="AL41" i="14" s="1"/>
  <c r="V10" i="41"/>
  <c r="AL15" i="25"/>
  <c r="AL14" i="14"/>
  <c r="AL38" i="14" s="1"/>
  <c r="AL15" i="41"/>
  <c r="AL12" i="12"/>
  <c r="AL36" i="41"/>
  <c r="Z10" i="41"/>
  <c r="R10" i="41"/>
  <c r="M10" i="41"/>
  <c r="AB10" i="41"/>
  <c r="AI10" i="41"/>
  <c r="AE10" i="41"/>
  <c r="J10" i="41"/>
  <c r="AI15" i="25"/>
  <c r="AI15" i="41"/>
  <c r="AI12" i="12"/>
  <c r="AI14" i="14"/>
  <c r="AI36" i="41"/>
  <c r="AH15" i="14"/>
  <c r="AH15" i="27"/>
  <c r="AH13" i="12"/>
  <c r="AH16" i="41"/>
  <c r="G10" i="41"/>
  <c r="Q10" i="41"/>
  <c r="AH36" i="41"/>
  <c r="AH14" i="14"/>
  <c r="AH15" i="25"/>
  <c r="AH12" i="12"/>
  <c r="AH15" i="41"/>
  <c r="H10" i="41"/>
  <c r="AL16" i="41"/>
  <c r="AL15" i="27"/>
  <c r="AL13" i="12"/>
  <c r="AL15" i="14"/>
  <c r="AL39" i="14" s="1"/>
  <c r="AL9" i="41"/>
  <c r="AK23" i="41"/>
  <c r="AK7" i="8"/>
  <c r="AK13" i="41"/>
  <c r="AK6" i="8"/>
  <c r="AK9" i="9" s="1"/>
  <c r="AK12" i="14"/>
  <c r="AK10" i="12"/>
  <c r="C9" i="44"/>
  <c r="AK15" i="21"/>
  <c r="AK16" i="41"/>
  <c r="AK13" i="12"/>
  <c r="C12" i="44"/>
  <c r="AK15" i="14"/>
  <c r="AK39" i="14" s="1"/>
  <c r="AK195" i="14" s="1"/>
  <c r="AK15" i="27"/>
  <c r="AI9" i="9"/>
  <c r="AL13" i="14"/>
  <c r="AL37" i="14" s="1"/>
  <c r="AL14" i="41"/>
  <c r="AL11" i="12"/>
  <c r="AL17" i="23"/>
  <c r="AL30" i="41"/>
  <c r="AL8" i="41"/>
  <c r="X10" i="41"/>
  <c r="AF10" i="41"/>
  <c r="E10" i="41"/>
  <c r="AD10" i="41"/>
  <c r="AK26" i="14"/>
  <c r="AK25" i="14"/>
  <c r="AK27" i="14"/>
  <c r="AK196" i="14"/>
  <c r="R26" i="6"/>
  <c r="Y16" i="8"/>
  <c r="S23" i="8"/>
  <c r="AF46" i="8"/>
  <c r="T34" i="8"/>
  <c r="AD44" i="8"/>
  <c r="V54" i="8"/>
  <c r="V48" i="3"/>
  <c r="P48" i="6"/>
  <c r="AB40" i="8"/>
  <c r="AD32" i="6"/>
  <c r="D45" i="8"/>
  <c r="Y43" i="8"/>
  <c r="Y42" i="6"/>
  <c r="M18" i="8"/>
  <c r="T22" i="8"/>
  <c r="T21" i="3"/>
  <c r="K16" i="8"/>
  <c r="Z34" i="8"/>
  <c r="Y11" i="8"/>
  <c r="AA44" i="8"/>
  <c r="AC30" i="8"/>
  <c r="U30" i="8"/>
  <c r="N38" i="8"/>
  <c r="R37" i="8"/>
  <c r="N35" i="8"/>
  <c r="AJ11" i="8"/>
  <c r="E44" i="8"/>
  <c r="M36" i="8"/>
  <c r="N37" i="8"/>
  <c r="P21" i="6"/>
  <c r="AJ23" i="8"/>
  <c r="M28" i="8"/>
  <c r="AB14" i="6"/>
  <c r="Y42" i="3"/>
  <c r="Q48" i="6"/>
  <c r="AB45" i="8"/>
  <c r="X21" i="6"/>
  <c r="AD48" i="7"/>
  <c r="AE45" i="8"/>
  <c r="AJ33" i="8"/>
  <c r="AJ32" i="3"/>
  <c r="N48" i="7"/>
  <c r="O16" i="8"/>
  <c r="U14" i="3"/>
  <c r="U15" i="8"/>
  <c r="R21" i="6"/>
  <c r="M48" i="6"/>
  <c r="I39" i="8"/>
  <c r="I16" i="8"/>
  <c r="I45" i="8"/>
  <c r="AD27" i="8"/>
  <c r="AD26" i="3"/>
  <c r="Q11" i="8"/>
  <c r="AG48" i="7"/>
  <c r="Q9" i="3"/>
  <c r="Q10" i="8"/>
  <c r="K42" i="7"/>
  <c r="K9" i="6"/>
  <c r="K38" i="8"/>
  <c r="AG32" i="6"/>
  <c r="AD17" i="8"/>
  <c r="AF40" i="8"/>
  <c r="V26" i="3"/>
  <c r="V27" i="8"/>
  <c r="AJ43" i="8"/>
  <c r="AJ42" i="6"/>
  <c r="AA38" i="8"/>
  <c r="I9" i="6"/>
  <c r="AE34" i="8"/>
  <c r="G9" i="7"/>
  <c r="AF12" i="8"/>
  <c r="V11" i="8"/>
  <c r="AA37" i="8"/>
  <c r="P26" i="3"/>
  <c r="P27" i="8"/>
  <c r="R39" i="8"/>
  <c r="D48" i="3"/>
  <c r="D54" i="8"/>
  <c r="O9" i="3"/>
  <c r="O10" i="8"/>
  <c r="AA29" i="8"/>
  <c r="T42" i="3"/>
  <c r="Y12" i="8"/>
  <c r="AD46" i="8"/>
  <c r="P23" i="8"/>
  <c r="L36" i="8"/>
  <c r="M26" i="6"/>
  <c r="F23" i="8"/>
  <c r="F35" i="8"/>
  <c r="D48" i="6"/>
  <c r="AG46" i="8"/>
  <c r="X42" i="3"/>
  <c r="O32" i="6"/>
  <c r="Y26" i="6"/>
  <c r="W9" i="6"/>
  <c r="Y14" i="3"/>
  <c r="Y15" i="8"/>
  <c r="E37" i="8"/>
  <c r="AE48" i="6"/>
  <c r="T23" i="8"/>
  <c r="S48" i="6"/>
  <c r="L12" i="8"/>
  <c r="F14" i="6"/>
  <c r="AE42" i="3"/>
  <c r="X48" i="3"/>
  <c r="X54" i="8"/>
  <c r="K15" i="8"/>
  <c r="K14" i="3"/>
  <c r="V10" i="8"/>
  <c r="V9" i="3"/>
  <c r="K34" i="8"/>
  <c r="W23" i="8"/>
  <c r="J26" i="6"/>
  <c r="K21" i="3"/>
  <c r="K22" i="8"/>
  <c r="E28" i="8"/>
  <c r="V48" i="7"/>
  <c r="T48" i="6"/>
  <c r="T9" i="6"/>
  <c r="I42" i="3"/>
  <c r="AJ29" i="8"/>
  <c r="D35" i="8"/>
  <c r="X26" i="3"/>
  <c r="X27" i="8"/>
  <c r="AD16" i="8"/>
  <c r="Z14" i="3"/>
  <c r="Z15" i="8"/>
  <c r="S18" i="8"/>
  <c r="K12" i="8"/>
  <c r="U17" i="8"/>
  <c r="J42" i="6"/>
  <c r="J43" i="8"/>
  <c r="AA15" i="8"/>
  <c r="AA14" i="3"/>
  <c r="E10" i="8"/>
  <c r="E9" i="3"/>
  <c r="O48" i="3"/>
  <c r="O54" i="8"/>
  <c r="U46" i="8"/>
  <c r="M16" i="8"/>
  <c r="AB37" i="8"/>
  <c r="N24" i="8"/>
  <c r="J21" i="3"/>
  <c r="J22" i="8"/>
  <c r="AB30" i="8"/>
  <c r="G38" i="8"/>
  <c r="AA32" i="6"/>
  <c r="R26" i="7"/>
  <c r="W12" i="8"/>
  <c r="Y39" i="8"/>
  <c r="R11" i="8"/>
  <c r="U42" i="3"/>
  <c r="R46" i="8"/>
  <c r="K35" i="8"/>
  <c r="S36" i="8"/>
  <c r="AJ38" i="8"/>
  <c r="AG35" i="8"/>
  <c r="AG14" i="6"/>
  <c r="M9" i="7"/>
  <c r="H42" i="3"/>
  <c r="J39" i="8"/>
  <c r="AC32" i="3"/>
  <c r="AC33" i="8"/>
  <c r="D14" i="3"/>
  <c r="D15" i="8"/>
  <c r="S44" i="8"/>
  <c r="I21" i="7"/>
  <c r="AE23" i="8"/>
  <c r="W17" i="8"/>
  <c r="AG23" i="8"/>
  <c r="J44" i="8"/>
  <c r="S26" i="6"/>
  <c r="Y21" i="3"/>
  <c r="Y22" i="8"/>
  <c r="H54" i="8"/>
  <c r="H48" i="3"/>
  <c r="L48" i="7"/>
  <c r="H39" i="8"/>
  <c r="R16" i="8"/>
  <c r="G23" i="8"/>
  <c r="D32" i="3"/>
  <c r="D33" i="8"/>
  <c r="AA24" i="8"/>
  <c r="T32" i="6"/>
  <c r="R38" i="8"/>
  <c r="G10" i="8"/>
  <c r="G9" i="3"/>
  <c r="S42" i="3"/>
  <c r="T26" i="6"/>
  <c r="K43" i="8"/>
  <c r="K42" i="6"/>
  <c r="AB39" i="8"/>
  <c r="S27" i="8"/>
  <c r="S26" i="3"/>
  <c r="S12" i="8"/>
  <c r="T21" i="6"/>
  <c r="V9" i="7"/>
  <c r="N21" i="3"/>
  <c r="N22" i="8"/>
  <c r="H46" i="8"/>
  <c r="M15" i="8"/>
  <c r="M14" i="3"/>
  <c r="AF37" i="8"/>
  <c r="X46" i="8"/>
  <c r="AA32" i="7"/>
  <c r="AE16" i="8"/>
  <c r="Q23" i="8"/>
  <c r="Y54" i="8"/>
  <c r="Y48" i="3"/>
  <c r="Z33" i="8"/>
  <c r="Z32" i="3"/>
  <c r="D24" i="8"/>
  <c r="G17" i="8"/>
  <c r="I48" i="7"/>
  <c r="F16" i="8"/>
  <c r="F9" i="6"/>
  <c r="AA17" i="8"/>
  <c r="S22" i="8"/>
  <c r="S21" i="3"/>
  <c r="AF45" i="8"/>
  <c r="P18" i="8"/>
  <c r="AC35" i="8"/>
  <c r="M32" i="3"/>
  <c r="M33" i="8"/>
  <c r="S16" i="8"/>
  <c r="D48" i="7"/>
  <c r="H44" i="8"/>
  <c r="T27" i="8"/>
  <c r="T26" i="3"/>
  <c r="V30" i="8"/>
  <c r="AJ22" i="8"/>
  <c r="AJ21" i="3"/>
  <c r="Z16" i="8"/>
  <c r="F48" i="3"/>
  <c r="F54" i="8"/>
  <c r="G28" i="8"/>
  <c r="U45" i="8"/>
  <c r="K11" i="8"/>
  <c r="AJ27" i="8"/>
  <c r="AJ26" i="3"/>
  <c r="AC21" i="6"/>
  <c r="AF32" i="6"/>
  <c r="Z45" i="8"/>
  <c r="V45" i="8"/>
  <c r="G42" i="3"/>
  <c r="G26" i="3"/>
  <c r="G27" i="8"/>
  <c r="U24" i="8"/>
  <c r="K26" i="3"/>
  <c r="K27" i="8"/>
  <c r="M11" i="8"/>
  <c r="AD45" i="8"/>
  <c r="W54" i="8"/>
  <c r="W48" i="3"/>
  <c r="D18" i="8"/>
  <c r="K42" i="3"/>
  <c r="H42" i="7"/>
  <c r="X38" i="8"/>
  <c r="W14" i="6"/>
  <c r="AD21" i="6"/>
  <c r="U12" i="8"/>
  <c r="Y32" i="7"/>
  <c r="O48" i="7"/>
  <c r="G14" i="6"/>
  <c r="H11" i="8"/>
  <c r="AA40" i="8"/>
  <c r="F9" i="7"/>
  <c r="J14" i="6"/>
  <c r="P9" i="3"/>
  <c r="P10" i="8"/>
  <c r="AB21" i="6"/>
  <c r="J33" i="8"/>
  <c r="J32" i="3"/>
  <c r="AF42" i="7"/>
  <c r="W38" i="8"/>
  <c r="O14" i="6"/>
  <c r="I9" i="7"/>
  <c r="S29" i="8"/>
  <c r="Z9" i="7"/>
  <c r="X9" i="6"/>
  <c r="H34" i="8"/>
  <c r="AG21" i="6"/>
  <c r="H10" i="8"/>
  <c r="H9" i="3"/>
  <c r="J40" i="8"/>
  <c r="K24" i="8"/>
  <c r="AA18" i="8"/>
  <c r="O40" i="8"/>
  <c r="P45" i="8"/>
  <c r="V12" i="8"/>
  <c r="I36" i="8"/>
  <c r="R28" i="8"/>
  <c r="AE14" i="6"/>
  <c r="AF34" i="8"/>
  <c r="P17" i="8"/>
  <c r="AB34" i="8"/>
  <c r="S28" i="8"/>
  <c r="AA30" i="8"/>
  <c r="AC42" i="3"/>
  <c r="E29" i="8"/>
  <c r="E23" i="8"/>
  <c r="F26" i="6"/>
  <c r="T11" i="8"/>
  <c r="D42" i="7"/>
  <c r="I54" i="8"/>
  <c r="I48" i="3"/>
  <c r="AD28" i="8"/>
  <c r="K32" i="7"/>
  <c r="V39" i="8"/>
  <c r="G12" i="8"/>
  <c r="M42" i="3"/>
  <c r="H29" i="8"/>
  <c r="U48" i="7"/>
  <c r="AG21" i="3"/>
  <c r="AG22" i="8"/>
  <c r="E9" i="6"/>
  <c r="Z23" i="8"/>
  <c r="D44" i="8"/>
  <c r="K21" i="7"/>
  <c r="AE14" i="3"/>
  <c r="AE15" i="8"/>
  <c r="AE37" i="8"/>
  <c r="AG9" i="7"/>
  <c r="V37" i="8"/>
  <c r="D40" i="8"/>
  <c r="K40" i="8"/>
  <c r="Z42" i="7"/>
  <c r="L32" i="3"/>
  <c r="L33" i="8"/>
  <c r="Y18" i="8"/>
  <c r="U14" i="6"/>
  <c r="U16" i="8"/>
  <c r="AD23" i="8"/>
  <c r="X45" i="8"/>
  <c r="U34" i="8"/>
  <c r="K23" i="8"/>
  <c r="V16" i="8"/>
  <c r="Y35" i="8"/>
  <c r="O9" i="7"/>
  <c r="W36" i="8"/>
  <c r="L40" i="8"/>
  <c r="AE44" i="8"/>
  <c r="W44" i="8"/>
  <c r="U18" i="8"/>
  <c r="AF28" i="8"/>
  <c r="AC21" i="3"/>
  <c r="AC22" i="8"/>
  <c r="R17" i="8"/>
  <c r="U26" i="6"/>
  <c r="R40" i="8"/>
  <c r="U40" i="8"/>
  <c r="AD48" i="6"/>
  <c r="Q42" i="7"/>
  <c r="N48" i="6"/>
  <c r="K17" i="8"/>
  <c r="N12" i="8"/>
  <c r="J29" i="8"/>
  <c r="H26" i="3"/>
  <c r="H27" i="8"/>
  <c r="AF11" i="8"/>
  <c r="S39" i="8"/>
  <c r="Z17" i="8"/>
  <c r="D36" i="8"/>
  <c r="J23" i="8"/>
  <c r="P34" i="8"/>
  <c r="AF26" i="6"/>
  <c r="AA26" i="7"/>
  <c r="AG48" i="6"/>
  <c r="R43" i="8"/>
  <c r="R42" i="6"/>
  <c r="V17" i="8"/>
  <c r="Q24" i="8"/>
  <c r="O11" i="8"/>
  <c r="N14" i="6"/>
  <c r="E11" i="8"/>
  <c r="J38" i="8"/>
  <c r="F18" i="8"/>
  <c r="N16" i="8"/>
  <c r="K33" i="8"/>
  <c r="K32" i="3"/>
  <c r="N26" i="6"/>
  <c r="P40" i="8"/>
  <c r="AD18" i="8"/>
  <c r="AC14" i="3"/>
  <c r="AC15" i="8"/>
  <c r="P21" i="3"/>
  <c r="P22" i="8"/>
  <c r="E39" i="8"/>
  <c r="O33" i="8"/>
  <c r="O32" i="3"/>
  <c r="Z44" i="8"/>
  <c r="AE54" i="8"/>
  <c r="AE48" i="3"/>
  <c r="AB32" i="3"/>
  <c r="AB33" i="8"/>
  <c r="J34" i="8"/>
  <c r="AF29" i="8"/>
  <c r="AD39" i="8"/>
  <c r="L30" i="8"/>
  <c r="AF32" i="7"/>
  <c r="R24" i="8"/>
  <c r="AF33" i="8"/>
  <c r="AF32" i="3"/>
  <c r="D22" i="8"/>
  <c r="D21" i="3"/>
  <c r="K18" i="8"/>
  <c r="S17" i="8"/>
  <c r="V14" i="6"/>
  <c r="H38" i="8"/>
  <c r="AD24" i="8"/>
  <c r="T30" i="8"/>
  <c r="F17" i="8"/>
  <c r="D10" i="8"/>
  <c r="D9" i="6"/>
  <c r="J32" i="6"/>
  <c r="L45" i="8"/>
  <c r="AE11" i="8"/>
  <c r="L38" i="8"/>
  <c r="F45" i="8"/>
  <c r="G11" i="8"/>
  <c r="D32" i="6"/>
  <c r="AE18" i="8"/>
  <c r="AB9" i="7"/>
  <c r="D16" i="8"/>
  <c r="N33" i="8"/>
  <c r="N32" i="3"/>
  <c r="T26" i="7"/>
  <c r="I18" i="8"/>
  <c r="Y38" i="8"/>
  <c r="J37" i="8"/>
  <c r="Q45" i="8"/>
  <c r="D38" i="8"/>
  <c r="O12" i="8"/>
  <c r="J35" i="8"/>
  <c r="AA9" i="7"/>
  <c r="AA42" i="7"/>
  <c r="AA39" i="8"/>
  <c r="E43" i="8"/>
  <c r="E42" i="6"/>
  <c r="D46" i="8"/>
  <c r="Y24" i="8"/>
  <c r="O23" i="8"/>
  <c r="T32" i="3"/>
  <c r="T33" i="8"/>
  <c r="E21" i="6"/>
  <c r="AF48" i="7"/>
  <c r="Y40" i="8"/>
  <c r="AE40" i="8"/>
  <c r="AF23" i="8"/>
  <c r="F15" i="8"/>
  <c r="F14" i="3"/>
  <c r="AB44" i="8"/>
  <c r="R9" i="6"/>
  <c r="V44" i="8"/>
  <c r="M24" i="8"/>
  <c r="Q21" i="6"/>
  <c r="G24" i="8"/>
  <c r="AA16" i="8"/>
  <c r="J12" i="8"/>
  <c r="F42" i="7"/>
  <c r="F28" i="8"/>
  <c r="AD48" i="3"/>
  <c r="AD54" i="8"/>
  <c r="N29" i="8"/>
  <c r="AG38" i="8"/>
  <c r="N48" i="3"/>
  <c r="N54" i="8"/>
  <c r="X21" i="7"/>
  <c r="AJ34" i="8"/>
  <c r="X42" i="7"/>
  <c r="Y29" i="8"/>
  <c r="W15" i="8"/>
  <c r="W14" i="3"/>
  <c r="AB48" i="7"/>
  <c r="G35" i="8"/>
  <c r="G48" i="7"/>
  <c r="N17" i="8"/>
  <c r="AJ48" i="6"/>
  <c r="X16" i="8"/>
  <c r="G21" i="6"/>
  <c r="O30" i="8"/>
  <c r="L9" i="3"/>
  <c r="L10" i="8"/>
  <c r="AG11" i="8"/>
  <c r="AC29" i="8"/>
  <c r="AF38" i="8"/>
  <c r="T15" i="8"/>
  <c r="T14" i="3"/>
  <c r="R36" i="8"/>
  <c r="AJ48" i="7"/>
  <c r="AF16" i="8"/>
  <c r="N23" i="8"/>
  <c r="E22" i="8"/>
  <c r="E21" i="3"/>
  <c r="F32" i="6"/>
  <c r="H14" i="3"/>
  <c r="H15" i="8"/>
  <c r="Z27" i="8"/>
  <c r="Z26" i="3"/>
  <c r="M30" i="8"/>
  <c r="E46" i="8"/>
  <c r="G9" i="6"/>
  <c r="Y21" i="7"/>
  <c r="AD14" i="6"/>
  <c r="W24" i="8"/>
  <c r="AA48" i="7"/>
  <c r="I32" i="7"/>
  <c r="F12" i="8"/>
  <c r="H30" i="8"/>
  <c r="AG42" i="3"/>
  <c r="O17" i="8"/>
  <c r="N26" i="3"/>
  <c r="N27" i="8"/>
  <c r="Y23" i="8"/>
  <c r="AG28" i="8"/>
  <c r="V38" i="8"/>
  <c r="M34" i="8"/>
  <c r="T46" i="8"/>
  <c r="V42" i="6"/>
  <c r="V43" i="8"/>
  <c r="AB21" i="3"/>
  <c r="AB22" i="8"/>
  <c r="AD11" i="8"/>
  <c r="F29" i="8"/>
  <c r="J24" i="8"/>
  <c r="AA22" i="8"/>
  <c r="AA21" i="3"/>
  <c r="R32" i="3"/>
  <c r="R33" i="8"/>
  <c r="AC18" i="8"/>
  <c r="AJ14" i="6"/>
  <c r="Y14" i="6"/>
  <c r="AD42" i="7"/>
  <c r="AJ45" i="8"/>
  <c r="H35" i="8"/>
  <c r="T17" i="8"/>
  <c r="N36" i="8"/>
  <c r="AA27" i="8"/>
  <c r="AA26" i="3"/>
  <c r="P44" i="8"/>
  <c r="AD35" i="8"/>
  <c r="AG9" i="6"/>
  <c r="U36" i="8"/>
  <c r="AF18" i="8"/>
  <c r="AE27" i="8"/>
  <c r="AE26" i="3"/>
  <c r="D11" i="8"/>
  <c r="D9" i="3"/>
  <c r="G36" i="8"/>
  <c r="Y17" i="8"/>
  <c r="U11" i="8"/>
  <c r="W21" i="6"/>
  <c r="L46" i="8"/>
  <c r="Y44" i="8"/>
  <c r="S37" i="8"/>
  <c r="Y9" i="6"/>
  <c r="M35" i="8"/>
  <c r="V21" i="6"/>
  <c r="H24" i="8"/>
  <c r="AB9" i="3"/>
  <c r="AB10" i="8"/>
  <c r="P42" i="6"/>
  <c r="P43" i="8"/>
  <c r="M46" i="8"/>
  <c r="Y48" i="6"/>
  <c r="R48" i="7"/>
  <c r="AE46" i="8"/>
  <c r="AF43" i="8"/>
  <c r="AF42" i="6"/>
  <c r="AC38" i="8"/>
  <c r="AA21" i="6"/>
  <c r="AE36" i="8"/>
  <c r="AA9" i="6"/>
  <c r="X26" i="7"/>
  <c r="AG17" i="8"/>
  <c r="G30" i="8"/>
  <c r="H48" i="7"/>
  <c r="U32" i="6"/>
  <c r="G40" i="8"/>
  <c r="G32" i="6"/>
  <c r="AC42" i="6"/>
  <c r="AC43" i="8"/>
  <c r="AD9" i="7"/>
  <c r="AB35" i="8"/>
  <c r="L48" i="6"/>
  <c r="J18" i="8"/>
  <c r="AF54" i="8"/>
  <c r="AF48" i="3"/>
  <c r="O21" i="3"/>
  <c r="O22" i="8"/>
  <c r="R10" i="8"/>
  <c r="R9" i="3"/>
  <c r="AE28" i="8"/>
  <c r="J42" i="3"/>
  <c r="I34" i="8"/>
  <c r="AJ21" i="7"/>
  <c r="I26" i="6"/>
  <c r="AJ15" i="8"/>
  <c r="AJ14" i="3"/>
  <c r="J45" i="8"/>
  <c r="V48" i="6"/>
  <c r="K9" i="7"/>
  <c r="Q29" i="8"/>
  <c r="L21" i="7"/>
  <c r="L9" i="6"/>
  <c r="P26" i="6"/>
  <c r="AF42" i="3"/>
  <c r="K21" i="6"/>
  <c r="O26" i="7"/>
  <c r="I40" i="8"/>
  <c r="Z29" i="8"/>
  <c r="AF27" i="8"/>
  <c r="AF26" i="3"/>
  <c r="AE17" i="8"/>
  <c r="L14" i="6"/>
  <c r="P32" i="3"/>
  <c r="P33" i="8"/>
  <c r="N11" i="8"/>
  <c r="AC40" i="8"/>
  <c r="I28" i="8"/>
  <c r="U42" i="7"/>
  <c r="F48" i="6"/>
  <c r="X21" i="3"/>
  <c r="X22" i="8"/>
  <c r="O26" i="6"/>
  <c r="L21" i="3"/>
  <c r="L22" i="8"/>
  <c r="K36" i="8"/>
  <c r="T45" i="8"/>
  <c r="E40" i="8"/>
  <c r="Z42" i="3"/>
  <c r="Q39" i="8"/>
  <c r="S26" i="7"/>
  <c r="AE24" i="8"/>
  <c r="AC36" i="8"/>
  <c r="AC44" i="8"/>
  <c r="P14" i="3"/>
  <c r="P15" i="8"/>
  <c r="AC45" i="8"/>
  <c r="Q18" i="8"/>
  <c r="F40" i="8"/>
  <c r="N30" i="8"/>
  <c r="L14" i="3"/>
  <c r="L15" i="8"/>
  <c r="W11" i="8"/>
  <c r="Q46" i="8"/>
  <c r="I21" i="6"/>
  <c r="X14" i="3"/>
  <c r="X15" i="8"/>
  <c r="Z38" i="8"/>
  <c r="Y28" i="8"/>
  <c r="AG24" i="8"/>
  <c r="W22" i="8"/>
  <c r="W21" i="3"/>
  <c r="AG12" i="8"/>
  <c r="Y21" i="6"/>
  <c r="E18" i="8"/>
  <c r="AD21" i="3"/>
  <c r="AD22" i="8"/>
  <c r="F24" i="8"/>
  <c r="AE21" i="3"/>
  <c r="AE22" i="8"/>
  <c r="AC26" i="7"/>
  <c r="AB28" i="8"/>
  <c r="Y26" i="3"/>
  <c r="Y27" i="8"/>
  <c r="N21" i="7"/>
  <c r="M42" i="6"/>
  <c r="M43" i="8"/>
  <c r="X9" i="7"/>
  <c r="AB15" i="8"/>
  <c r="AB14" i="3"/>
  <c r="F26" i="7"/>
  <c r="AD26" i="7"/>
  <c r="Y45" i="8"/>
  <c r="AJ26" i="6"/>
  <c r="V9" i="6"/>
  <c r="AJ32" i="7"/>
  <c r="I30" i="8"/>
  <c r="S11" i="8"/>
  <c r="M48" i="7"/>
  <c r="F36" i="8"/>
  <c r="I35" i="8"/>
  <c r="R32" i="7"/>
  <c r="L54" i="8"/>
  <c r="L48" i="3"/>
  <c r="AC39" i="8"/>
  <c r="AF39" i="8"/>
  <c r="T42" i="7"/>
  <c r="F38" i="8"/>
  <c r="F32" i="3"/>
  <c r="F33" i="8"/>
  <c r="X26" i="6"/>
  <c r="T32" i="7"/>
  <c r="F37" i="8"/>
  <c r="AC42" i="7"/>
  <c r="AA35" i="8"/>
  <c r="AJ35" i="8"/>
  <c r="V23" i="8"/>
  <c r="Z40" i="8"/>
  <c r="AB24" i="8"/>
  <c r="Q32" i="6"/>
  <c r="AB18" i="8"/>
  <c r="M42" i="7"/>
  <c r="F21" i="7"/>
  <c r="O21" i="7"/>
  <c r="G18" i="8"/>
  <c r="M32" i="6"/>
  <c r="AJ30" i="8"/>
  <c r="AB38" i="8"/>
  <c r="K28" i="8"/>
  <c r="AA42" i="3"/>
  <c r="Z26" i="6"/>
  <c r="N44" i="8"/>
  <c r="AJ17" i="8"/>
  <c r="D43" i="8"/>
  <c r="D42" i="6"/>
  <c r="S48" i="3"/>
  <c r="S54" i="8"/>
  <c r="U54" i="8"/>
  <c r="U48" i="3"/>
  <c r="O15" i="8"/>
  <c r="O14" i="3"/>
  <c r="R9" i="7"/>
  <c r="H21" i="6"/>
  <c r="M29" i="8"/>
  <c r="O21" i="6"/>
  <c r="X23" i="8"/>
  <c r="I14" i="6"/>
  <c r="M26" i="3"/>
  <c r="M27" i="8"/>
  <c r="AD21" i="7"/>
  <c r="AE26" i="7"/>
  <c r="F9" i="3"/>
  <c r="F10" i="8"/>
  <c r="H17" i="8"/>
  <c r="J36" i="8"/>
  <c r="S42" i="6"/>
  <c r="S43" i="8"/>
  <c r="E16" i="8"/>
  <c r="W26" i="6"/>
  <c r="AC32" i="6"/>
  <c r="V26" i="6"/>
  <c r="W48" i="7"/>
  <c r="Z12" i="8"/>
  <c r="AE21" i="7"/>
  <c r="F30" i="8"/>
  <c r="AE32" i="7"/>
  <c r="AC48" i="7"/>
  <c r="U26" i="7"/>
  <c r="F34" i="8"/>
  <c r="S14" i="3"/>
  <c r="S15" i="8"/>
  <c r="AC12" i="8"/>
  <c r="F11" i="8"/>
  <c r="D42" i="3"/>
  <c r="O43" i="8"/>
  <c r="O42" i="6"/>
  <c r="H21" i="3"/>
  <c r="H22" i="8"/>
  <c r="AF44" i="8"/>
  <c r="R32" i="6"/>
  <c r="AC17" i="8"/>
  <c r="U22" i="8"/>
  <c r="U21" i="3"/>
  <c r="AJ42" i="7"/>
  <c r="V34" i="8"/>
  <c r="T39" i="8"/>
  <c r="U9" i="7"/>
  <c r="P42" i="7"/>
  <c r="E48" i="7"/>
  <c r="J46" i="8"/>
  <c r="N9" i="7"/>
  <c r="H32" i="3"/>
  <c r="H33" i="8"/>
  <c r="AD33" i="8"/>
  <c r="AD32" i="3"/>
  <c r="E42" i="7"/>
  <c r="V32" i="7"/>
  <c r="E14" i="6"/>
  <c r="G48" i="3"/>
  <c r="G54" i="8"/>
  <c r="AD29" i="8"/>
  <c r="L21" i="6"/>
  <c r="AB12" i="8"/>
  <c r="N9" i="3"/>
  <c r="N10" i="8"/>
  <c r="F22" i="8"/>
  <c r="F21" i="3"/>
  <c r="T35" i="8"/>
  <c r="AC9" i="3"/>
  <c r="AC10" i="8"/>
  <c r="L34" i="8"/>
  <c r="L37" i="8"/>
  <c r="AD30" i="8"/>
  <c r="W16" i="8"/>
  <c r="H48" i="6"/>
  <c r="G48" i="6"/>
  <c r="G26" i="6"/>
  <c r="Z21" i="6"/>
  <c r="Y32" i="6"/>
  <c r="AF9" i="7"/>
  <c r="R48" i="6"/>
  <c r="P48" i="7"/>
  <c r="AG30" i="8"/>
  <c r="Z32" i="7"/>
  <c r="X33" i="8"/>
  <c r="X32" i="3"/>
  <c r="M9" i="6"/>
  <c r="AC26" i="6"/>
  <c r="R45" i="8"/>
  <c r="R44" i="8"/>
  <c r="D9" i="7"/>
  <c r="T40" i="8"/>
  <c r="Z22" i="8"/>
  <c r="Z21" i="3"/>
  <c r="F21" i="6"/>
  <c r="O36" i="8"/>
  <c r="I37" i="8"/>
  <c r="H42" i="6"/>
  <c r="H43" i="8"/>
  <c r="H26" i="6"/>
  <c r="AD43" i="8"/>
  <c r="AD42" i="6"/>
  <c r="D39" i="8"/>
  <c r="Y37" i="8"/>
  <c r="M39" i="8"/>
  <c r="K37" i="8"/>
  <c r="S48" i="7"/>
  <c r="AJ42" i="3"/>
  <c r="L11" i="8"/>
  <c r="AC23" i="8"/>
  <c r="G21" i="7"/>
  <c r="K54" i="8"/>
  <c r="K48" i="3"/>
  <c r="T10" i="8"/>
  <c r="T9" i="3"/>
  <c r="L32" i="6"/>
  <c r="AG26" i="6"/>
  <c r="Z35" i="8"/>
  <c r="L16" i="8"/>
  <c r="U33" i="8"/>
  <c r="U32" i="3"/>
  <c r="G26" i="7"/>
  <c r="E12" i="8"/>
  <c r="Z11" i="8"/>
  <c r="L39" i="8"/>
  <c r="AG16" i="8"/>
  <c r="Q16" i="8"/>
  <c r="F42" i="3"/>
  <c r="S9" i="6"/>
  <c r="I29" i="8"/>
  <c r="Z28" i="8"/>
  <c r="M23" i="8"/>
  <c r="H32" i="6"/>
  <c r="AA54" i="8"/>
  <c r="AA48" i="3"/>
  <c r="H37" i="8"/>
  <c r="D26" i="3"/>
  <c r="D27" i="8"/>
  <c r="I32" i="6"/>
  <c r="E54" i="8"/>
  <c r="E48" i="3"/>
  <c r="T44" i="8"/>
  <c r="AB32" i="7"/>
  <c r="Y30" i="8"/>
  <c r="Q30" i="8"/>
  <c r="D30" i="8"/>
  <c r="J11" i="8"/>
  <c r="J27" i="8"/>
  <c r="J26" i="3"/>
  <c r="AB46" i="8"/>
  <c r="W18" i="8"/>
  <c r="V21" i="3"/>
  <c r="V22" i="8"/>
  <c r="Q32" i="7"/>
  <c r="Q22" i="8"/>
  <c r="Q21" i="3"/>
  <c r="J54" i="8"/>
  <c r="J48" i="3"/>
  <c r="AB42" i="3"/>
  <c r="Q42" i="3"/>
  <c r="J26" i="7"/>
  <c r="V33" i="8"/>
  <c r="V32" i="3"/>
  <c r="M12" i="8"/>
  <c r="T36" i="8"/>
  <c r="Z43" i="8"/>
  <c r="Z42" i="6"/>
  <c r="K26" i="7"/>
  <c r="J48" i="6"/>
  <c r="P30" i="8"/>
  <c r="AB11" i="8"/>
  <c r="T48" i="3"/>
  <c r="T54" i="8"/>
  <c r="M32" i="7"/>
  <c r="W42" i="6"/>
  <c r="W43" i="8"/>
  <c r="Z18" i="8"/>
  <c r="T42" i="6"/>
  <c r="T43" i="8"/>
  <c r="I42" i="6"/>
  <c r="I43" i="8"/>
  <c r="K48" i="7"/>
  <c r="Z21" i="7"/>
  <c r="O27" i="8"/>
  <c r="O26" i="3"/>
  <c r="S40" i="8"/>
  <c r="Y32" i="3"/>
  <c r="Y33" i="8"/>
  <c r="Q54" i="8"/>
  <c r="Q48" i="3"/>
  <c r="O38" i="8"/>
  <c r="H9" i="6"/>
  <c r="K26" i="6"/>
  <c r="Y26" i="7"/>
  <c r="AJ37" i="8"/>
  <c r="Y48" i="7"/>
  <c r="V29" i="8"/>
  <c r="H32" i="7"/>
  <c r="P11" i="8"/>
  <c r="AA23" i="8"/>
  <c r="J42" i="7"/>
  <c r="X32" i="7"/>
  <c r="W42" i="7"/>
  <c r="O24" i="8"/>
  <c r="L42" i="6"/>
  <c r="L43" i="8"/>
  <c r="AF48" i="6"/>
  <c r="G33" i="8"/>
  <c r="G32" i="3"/>
  <c r="AA28" i="8"/>
  <c r="H16" i="8"/>
  <c r="N39" i="8"/>
  <c r="T28" i="8"/>
  <c r="Q14" i="6"/>
  <c r="V14" i="3"/>
  <c r="V15" i="8"/>
  <c r="O18" i="8"/>
  <c r="Q38" i="8"/>
  <c r="I44" i="8"/>
  <c r="AD12" i="8"/>
  <c r="AF35" i="8"/>
  <c r="E9" i="7"/>
  <c r="AE38" i="8"/>
  <c r="V28" i="8"/>
  <c r="I42" i="7"/>
  <c r="J28" i="8"/>
  <c r="K48" i="6"/>
  <c r="AE29" i="8"/>
  <c r="G16" i="8"/>
  <c r="P14" i="6"/>
  <c r="AG26" i="7"/>
  <c r="G22" i="8"/>
  <c r="G21" i="3"/>
  <c r="X24" i="8"/>
  <c r="AA33" i="8"/>
  <c r="AA32" i="3"/>
  <c r="I12" i="8"/>
  <c r="V36" i="8"/>
  <c r="AE32" i="3"/>
  <c r="AE33" i="8"/>
  <c r="U39" i="8"/>
  <c r="W32" i="7"/>
  <c r="Q34" i="8"/>
  <c r="O45" i="8"/>
  <c r="M10" i="8"/>
  <c r="M9" i="3"/>
  <c r="Z37" i="8"/>
  <c r="AF14" i="6"/>
  <c r="M14" i="6"/>
  <c r="O28" i="8"/>
  <c r="X17" i="8"/>
  <c r="N26" i="7"/>
  <c r="Q21" i="7"/>
  <c r="L26" i="7"/>
  <c r="E17" i="8"/>
  <c r="Q26" i="7"/>
  <c r="Z10" i="8"/>
  <c r="Z9" i="3"/>
  <c r="K46" i="8"/>
  <c r="S45" i="8"/>
  <c r="H21" i="7"/>
  <c r="AE35" i="8"/>
  <c r="AJ12" i="8"/>
  <c r="U48" i="6"/>
  <c r="AE21" i="6"/>
  <c r="U28" i="8"/>
  <c r="Q26" i="6"/>
  <c r="AD26" i="6"/>
  <c r="J9" i="6"/>
  <c r="E42" i="3"/>
  <c r="P12" i="8"/>
  <c r="H23" i="8"/>
  <c r="R23" i="8"/>
  <c r="H26" i="7"/>
  <c r="AD15" i="8"/>
  <c r="AD14" i="3"/>
  <c r="AC27" i="8"/>
  <c r="AC26" i="3"/>
  <c r="W28" i="8"/>
  <c r="M44" i="8"/>
  <c r="N40" i="8"/>
  <c r="AC34" i="8"/>
  <c r="W32" i="6"/>
  <c r="L42" i="3"/>
  <c r="AB9" i="6"/>
  <c r="AJ39" i="8"/>
  <c r="AJ28" i="8"/>
  <c r="V32" i="6"/>
  <c r="W46" i="8"/>
  <c r="AC9" i="6"/>
  <c r="S14" i="6"/>
  <c r="W21" i="7"/>
  <c r="AG37" i="8"/>
  <c r="W40" i="8"/>
  <c r="P35" i="8"/>
  <c r="M40" i="8"/>
  <c r="Q9" i="6"/>
  <c r="AG48" i="3"/>
  <c r="AG54" i="8"/>
  <c r="K32" i="6"/>
  <c r="I24" i="8"/>
  <c r="R54" i="8"/>
  <c r="R48" i="3"/>
  <c r="D17" i="8"/>
  <c r="D26" i="7"/>
  <c r="J21" i="6"/>
  <c r="P48" i="3"/>
  <c r="P54" i="8"/>
  <c r="N32" i="6"/>
  <c r="P32" i="6"/>
  <c r="L44" i="8"/>
  <c r="Z32" i="6"/>
  <c r="H28" i="8"/>
  <c r="AF21" i="3"/>
  <c r="AF22" i="8"/>
  <c r="T38" i="8"/>
  <c r="AF21" i="6"/>
  <c r="R21" i="7"/>
  <c r="X30" i="8"/>
  <c r="AG40" i="8"/>
  <c r="G45" i="8"/>
  <c r="M21" i="3"/>
  <c r="M22" i="8"/>
  <c r="K44" i="8"/>
  <c r="E26" i="3"/>
  <c r="E27" i="8"/>
  <c r="O48" i="6"/>
  <c r="Z9" i="6"/>
  <c r="Z14" i="6"/>
  <c r="T14" i="6"/>
  <c r="I17" i="8"/>
  <c r="AC21" i="7"/>
  <c r="L17" i="8"/>
  <c r="G29" i="8"/>
  <c r="AD38" i="8"/>
  <c r="D21" i="6"/>
  <c r="F44" i="8"/>
  <c r="S38" i="8"/>
  <c r="AB16" i="8"/>
  <c r="R35" i="8"/>
  <c r="O32" i="7"/>
  <c r="AE9" i="7"/>
  <c r="H18" i="8"/>
  <c r="J30" i="8"/>
  <c r="AF36" i="8"/>
  <c r="W33" i="8"/>
  <c r="W32" i="3"/>
  <c r="X36" i="8"/>
  <c r="T16" i="8"/>
  <c r="AB43" i="8"/>
  <c r="AB42" i="6"/>
  <c r="AG45" i="8"/>
  <c r="AA9" i="3"/>
  <c r="AA10" i="8"/>
  <c r="E15" i="8"/>
  <c r="E14" i="3"/>
  <c r="I48" i="6"/>
  <c r="V40" i="8"/>
  <c r="P37" i="8"/>
  <c r="I21" i="3"/>
  <c r="I22" i="8"/>
  <c r="W35" i="8"/>
  <c r="E48" i="6"/>
  <c r="T9" i="7"/>
  <c r="AA46" i="8"/>
  <c r="Q12" i="8"/>
  <c r="AD32" i="7"/>
  <c r="F48" i="7"/>
  <c r="P42" i="3"/>
  <c r="R42" i="3"/>
  <c r="T12" i="8"/>
  <c r="AB27" i="8"/>
  <c r="AB26" i="3"/>
  <c r="N34" i="8"/>
  <c r="AB54" i="8"/>
  <c r="AB48" i="3"/>
  <c r="Z46" i="8"/>
  <c r="J9" i="3"/>
  <c r="J10" i="8"/>
  <c r="AA48" i="6"/>
  <c r="O37" i="8"/>
  <c r="AG10" i="8"/>
  <c r="AG9" i="3"/>
  <c r="G32" i="7"/>
  <c r="F46" i="8"/>
  <c r="M17" i="8"/>
  <c r="F39" i="8"/>
  <c r="G15" i="8"/>
  <c r="G14" i="3"/>
  <c r="AE42" i="7"/>
  <c r="S32" i="7"/>
  <c r="AJ24" i="8"/>
  <c r="M26" i="7"/>
  <c r="AF17" i="8"/>
  <c r="R29" i="8"/>
  <c r="M38" i="8"/>
  <c r="AG32" i="7"/>
  <c r="AJ26" i="7"/>
  <c r="E32" i="3"/>
  <c r="E33" i="8"/>
  <c r="AB23" i="8"/>
  <c r="W42" i="3"/>
  <c r="G34" i="8"/>
  <c r="P21" i="7"/>
  <c r="V42" i="7"/>
  <c r="P38" i="8"/>
  <c r="L27" i="8"/>
  <c r="L26" i="3"/>
  <c r="AF9" i="6"/>
  <c r="X29" i="8"/>
  <c r="E26" i="7"/>
  <c r="AB26" i="6"/>
  <c r="V35" i="8"/>
  <c r="G37" i="8"/>
  <c r="T21" i="7"/>
  <c r="K10" i="8"/>
  <c r="K9" i="3"/>
  <c r="AG21" i="7"/>
  <c r="S9" i="3"/>
  <c r="S10" i="8"/>
  <c r="I23" i="8"/>
  <c r="X48" i="7"/>
  <c r="X34" i="8"/>
  <c r="W30" i="8"/>
  <c r="K14" i="6"/>
  <c r="U10" i="8"/>
  <c r="U9" i="3"/>
  <c r="AC28" i="8"/>
  <c r="F27" i="8"/>
  <c r="F26" i="3"/>
  <c r="X39" i="8"/>
  <c r="AJ21" i="6"/>
  <c r="E36" i="8"/>
  <c r="X28" i="8"/>
  <c r="M37" i="8"/>
  <c r="P24" i="8"/>
  <c r="AJ9" i="6"/>
  <c r="L24" i="8"/>
  <c r="L23" i="8"/>
  <c r="S21" i="7"/>
  <c r="G42" i="6"/>
  <c r="G43" i="8"/>
  <c r="J16" i="8"/>
  <c r="M21" i="7"/>
  <c r="L18" i="8"/>
  <c r="AC46" i="8"/>
  <c r="S35" i="8"/>
  <c r="N42" i="6"/>
  <c r="N43" i="8"/>
  <c r="O39" i="8"/>
  <c r="N32" i="7"/>
  <c r="X40" i="8"/>
  <c r="Z26" i="7"/>
  <c r="N46" i="8"/>
  <c r="V26" i="7"/>
  <c r="P46" i="8"/>
  <c r="O35" i="8"/>
  <c r="Y9" i="7"/>
  <c r="S42" i="7"/>
  <c r="D14" i="6"/>
  <c r="W26" i="7"/>
  <c r="AC54" i="8"/>
  <c r="AC48" i="3"/>
  <c r="Q33" i="8"/>
  <c r="Q32" i="3"/>
  <c r="AE32" i="6"/>
  <c r="P32" i="7"/>
  <c r="AF24" i="8"/>
  <c r="AB42" i="7"/>
  <c r="W48" i="6"/>
  <c r="AA43" i="8"/>
  <c r="AA42" i="6"/>
  <c r="K39" i="8"/>
  <c r="AB26" i="7"/>
  <c r="AJ46" i="8"/>
  <c r="I15" i="8"/>
  <c r="I14" i="3"/>
  <c r="I27" i="8"/>
  <c r="I26" i="3"/>
  <c r="R18" i="8"/>
  <c r="W37" i="8"/>
  <c r="V42" i="3"/>
  <c r="H14" i="6"/>
  <c r="Q40" i="8"/>
  <c r="AB21" i="7"/>
  <c r="O34" i="8"/>
  <c r="AJ36" i="8"/>
  <c r="K29" i="8"/>
  <c r="E45" i="8"/>
  <c r="U26" i="3"/>
  <c r="U27" i="8"/>
  <c r="P26" i="7"/>
  <c r="E30" i="8"/>
  <c r="T37" i="8"/>
  <c r="AD42" i="3"/>
  <c r="U37" i="8"/>
  <c r="AB17" i="8"/>
  <c r="K45" i="8"/>
  <c r="AG15" i="8"/>
  <c r="AG14" i="3"/>
  <c r="O29" i="8"/>
  <c r="AE26" i="6"/>
  <c r="I46" i="8"/>
  <c r="AJ9" i="3"/>
  <c r="AJ10" i="8"/>
  <c r="AE30" i="8"/>
  <c r="AE9" i="6"/>
  <c r="AJ9" i="7"/>
  <c r="AG42" i="7"/>
  <c r="P16" i="8"/>
  <c r="N9" i="6"/>
  <c r="AA26" i="6"/>
  <c r="N18" i="8"/>
  <c r="O46" i="8"/>
  <c r="E32" i="7"/>
  <c r="Z48" i="3"/>
  <c r="Z54" i="8"/>
  <c r="I26" i="7"/>
  <c r="AG33" i="8"/>
  <c r="AG32" i="3"/>
  <c r="X10" i="8"/>
  <c r="X9" i="3"/>
  <c r="AG26" i="3"/>
  <c r="AG27" i="8"/>
  <c r="S46" i="8"/>
  <c r="E38" i="8"/>
  <c r="S21" i="6"/>
  <c r="Y46" i="8"/>
  <c r="R14" i="3"/>
  <c r="R15" i="8"/>
  <c r="AF14" i="3"/>
  <c r="AF15" i="8"/>
  <c r="X32" i="6"/>
  <c r="W26" i="3"/>
  <c r="W27" i="8"/>
  <c r="R22" i="8"/>
  <c r="R21" i="3"/>
  <c r="E35" i="8"/>
  <c r="AJ44" i="8"/>
  <c r="D32" i="7"/>
  <c r="S24" i="8"/>
  <c r="AG36" i="8"/>
  <c r="D26" i="6"/>
  <c r="AE12" i="8"/>
  <c r="R30" i="8"/>
  <c r="Z39" i="8"/>
  <c r="P29" i="8"/>
  <c r="Q27" i="8"/>
  <c r="Q26" i="3"/>
  <c r="AA34" i="8"/>
  <c r="AF10" i="8"/>
  <c r="AF9" i="3"/>
  <c r="P9" i="6"/>
  <c r="L28" i="8"/>
  <c r="U21" i="7"/>
  <c r="Q37" i="8"/>
  <c r="D37" i="8"/>
  <c r="AJ18" i="8"/>
  <c r="U38" i="8"/>
  <c r="AD9" i="6"/>
  <c r="Y42" i="7"/>
  <c r="H12" i="8"/>
  <c r="U21" i="6"/>
  <c r="D12" i="8"/>
  <c r="AE39" i="8"/>
  <c r="J32" i="7"/>
  <c r="E24" i="8"/>
  <c r="S34" i="8"/>
  <c r="E32" i="6"/>
  <c r="R12" i="8"/>
  <c r="U42" i="6"/>
  <c r="U43" i="8"/>
  <c r="Z24" i="8"/>
  <c r="AD40" i="8"/>
  <c r="J9" i="7"/>
  <c r="T18" i="8"/>
  <c r="AC24" i="8"/>
  <c r="M45" i="8"/>
  <c r="Q14" i="3"/>
  <c r="Q15" i="8"/>
  <c r="AB32" i="6"/>
  <c r="D29" i="8"/>
  <c r="AF26" i="7"/>
  <c r="X12" i="8"/>
  <c r="AA36" i="8"/>
  <c r="D21" i="7"/>
  <c r="S33" i="8"/>
  <c r="S32" i="3"/>
  <c r="L35" i="8"/>
  <c r="Q28" i="8"/>
  <c r="AC32" i="7"/>
  <c r="AE48" i="7"/>
  <c r="AC48" i="6"/>
  <c r="Z48" i="6"/>
  <c r="AA21" i="7"/>
  <c r="AB36" i="8"/>
  <c r="O42" i="3"/>
  <c r="Q36" i="8"/>
  <c r="O44" i="8"/>
  <c r="O9" i="6"/>
  <c r="AG43" i="8"/>
  <c r="AG42" i="6"/>
  <c r="W29" i="8"/>
  <c r="P36" i="8"/>
  <c r="J14" i="3"/>
  <c r="J15" i="8"/>
  <c r="X44" i="8"/>
  <c r="I32" i="3"/>
  <c r="I33" i="8"/>
  <c r="I9" i="3"/>
  <c r="I10" i="8"/>
  <c r="Q43" i="8"/>
  <c r="Q42" i="6"/>
  <c r="AF30" i="8"/>
  <c r="V24" i="8"/>
  <c r="Q35" i="8"/>
  <c r="D23" i="8"/>
  <c r="X14" i="6"/>
  <c r="N28" i="8"/>
  <c r="N21" i="6"/>
  <c r="AB48" i="6"/>
  <c r="N15" i="8"/>
  <c r="N14" i="3"/>
  <c r="N42" i="7"/>
  <c r="L32" i="7"/>
  <c r="X48" i="6"/>
  <c r="AA11" i="8"/>
  <c r="Z36" i="8"/>
  <c r="AG39" i="8"/>
  <c r="H40" i="8"/>
  <c r="Q44" i="8"/>
  <c r="AB29" i="8"/>
  <c r="M54" i="8"/>
  <c r="M48" i="3"/>
  <c r="D28" i="8"/>
  <c r="R26" i="3"/>
  <c r="R27" i="8"/>
  <c r="X18" i="8"/>
  <c r="X11" i="8"/>
  <c r="AJ40" i="8"/>
  <c r="W34" i="8"/>
  <c r="H36" i="8"/>
  <c r="S9" i="7"/>
  <c r="AD9" i="3"/>
  <c r="AD10" i="8"/>
  <c r="J21" i="7"/>
  <c r="AD37" i="8"/>
  <c r="L42" i="7"/>
  <c r="N42" i="3"/>
  <c r="N45" i="8"/>
  <c r="O42" i="7"/>
  <c r="G39" i="8"/>
  <c r="AC16" i="8"/>
  <c r="E21" i="7"/>
  <c r="L9" i="7"/>
  <c r="I11" i="8"/>
  <c r="U32" i="7"/>
  <c r="U9" i="6"/>
  <c r="AD36" i="8"/>
  <c r="S30" i="8"/>
  <c r="AG18" i="8"/>
  <c r="V18" i="8"/>
  <c r="M21" i="6"/>
  <c r="AF21" i="7"/>
  <c r="AG44" i="8"/>
  <c r="Z30" i="8"/>
  <c r="P28" i="8"/>
  <c r="J48" i="7"/>
  <c r="AJ32" i="6"/>
  <c r="V21" i="7"/>
  <c r="AE42" i="6"/>
  <c r="AE43" i="8"/>
  <c r="U23" i="8"/>
  <c r="E26" i="6"/>
  <c r="T24" i="8"/>
  <c r="E34" i="8"/>
  <c r="G46" i="8"/>
  <c r="AA45" i="8"/>
  <c r="P39" i="8"/>
  <c r="Q48" i="7"/>
  <c r="X37" i="8"/>
  <c r="H45" i="8"/>
  <c r="V46" i="8"/>
  <c r="R42" i="7"/>
  <c r="AA12" i="8"/>
  <c r="AD34" i="8"/>
  <c r="Q17" i="8"/>
  <c r="S32" i="6"/>
  <c r="W45" i="8"/>
  <c r="AE9" i="3"/>
  <c r="AE10" i="8"/>
  <c r="F32" i="7"/>
  <c r="Y9" i="3"/>
  <c r="Y10" i="8"/>
  <c r="AG34" i="8"/>
  <c r="AJ54" i="8"/>
  <c r="AJ48" i="3"/>
  <c r="W9" i="7"/>
  <c r="R14" i="6"/>
  <c r="J17" i="8"/>
  <c r="K30" i="8"/>
  <c r="Y34" i="8"/>
  <c r="AA14" i="6"/>
  <c r="Y36" i="8"/>
  <c r="D34" i="8"/>
  <c r="H9" i="7"/>
  <c r="T48" i="7"/>
  <c r="X35" i="8"/>
  <c r="W39" i="8"/>
  <c r="U29" i="8"/>
  <c r="W10" i="8"/>
  <c r="W9" i="3"/>
  <c r="I38" i="8"/>
  <c r="AC37" i="8"/>
  <c r="Z48" i="7"/>
  <c r="U35" i="8"/>
  <c r="R34" i="8"/>
  <c r="AJ16" i="8"/>
  <c r="L29" i="8"/>
  <c r="U44" i="8"/>
  <c r="Q9" i="7"/>
  <c r="F42" i="6"/>
  <c r="F43" i="8"/>
  <c r="AC11" i="8"/>
  <c r="L26" i="6"/>
  <c r="G42" i="7"/>
  <c r="G44" i="8"/>
  <c r="T29" i="8"/>
  <c r="P9" i="7"/>
  <c r="AC14" i="6"/>
  <c r="X42" i="6"/>
  <c r="X43" i="8"/>
  <c r="AC9" i="7"/>
  <c r="AG29" i="8"/>
  <c r="AO10" i="41" l="1"/>
  <c r="AK14" i="9"/>
  <c r="AK44" i="9"/>
  <c r="AK46" i="9"/>
  <c r="AK29" i="9"/>
  <c r="AK15" i="9"/>
  <c r="AK21" i="9"/>
  <c r="AK32" i="9"/>
  <c r="AK6" i="9"/>
  <c r="AK27" i="9"/>
  <c r="AK45" i="9"/>
  <c r="AK26" i="9"/>
  <c r="AK39" i="9"/>
  <c r="AK22" i="9"/>
  <c r="AK24" i="9"/>
  <c r="AK30" i="9"/>
  <c r="AK34" i="9"/>
  <c r="AK19" i="9"/>
  <c r="AK28" i="9"/>
  <c r="AK10" i="9"/>
  <c r="AK18" i="9"/>
  <c r="AK36" i="9"/>
  <c r="AK16" i="9"/>
  <c r="AK42" i="9"/>
  <c r="AK23" i="9"/>
  <c r="AK17" i="9"/>
  <c r="AK43" i="9"/>
  <c r="AK40" i="9"/>
  <c r="AK33" i="9"/>
  <c r="AK12" i="9"/>
  <c r="AK6" i="41"/>
  <c r="AK37" i="9"/>
  <c r="AK38" i="9"/>
  <c r="AK35" i="9"/>
  <c r="AK11" i="9"/>
  <c r="AI44" i="9"/>
  <c r="AI17" i="9"/>
  <c r="AI37" i="9"/>
  <c r="AI21" i="9"/>
  <c r="AI30" i="9"/>
  <c r="AI24" i="9"/>
  <c r="AI40" i="9"/>
  <c r="AI15" i="9"/>
  <c r="AI14" i="9"/>
  <c r="AI28" i="9"/>
  <c r="AI34" i="9"/>
  <c r="AI39" i="9"/>
  <c r="AI16" i="9"/>
  <c r="AI22" i="9"/>
  <c r="AI23" i="9"/>
  <c r="AI18" i="9"/>
  <c r="AI6" i="41"/>
  <c r="AI11" i="9"/>
  <c r="AI43" i="9"/>
  <c r="AI6" i="9"/>
  <c r="AI12" i="9"/>
  <c r="AI38" i="9"/>
  <c r="AI26" i="9"/>
  <c r="AI45" i="9"/>
  <c r="AI19" i="9"/>
  <c r="AI33" i="9"/>
  <c r="AI32" i="9"/>
  <c r="AI27" i="9"/>
  <c r="AI10" i="9"/>
  <c r="AI46" i="9"/>
  <c r="AI29" i="9"/>
  <c r="AI42" i="9"/>
  <c r="AI36" i="9"/>
  <c r="AI35" i="9"/>
  <c r="AK42" i="41"/>
  <c r="AK41" i="41"/>
  <c r="AL34" i="41"/>
  <c r="AL35" i="41"/>
  <c r="AL16" i="12"/>
  <c r="AI29" i="41"/>
  <c r="AI28" i="41"/>
  <c r="AH9" i="9"/>
  <c r="AH46" i="9"/>
  <c r="AH38" i="9"/>
  <c r="AH33" i="9"/>
  <c r="AH19" i="9"/>
  <c r="AH43" i="9"/>
  <c r="AH37" i="9"/>
  <c r="AH32" i="9"/>
  <c r="AH30" i="9"/>
  <c r="AH24" i="9"/>
  <c r="AH28" i="9"/>
  <c r="AH18" i="9"/>
  <c r="AH16" i="9"/>
  <c r="AH22" i="9"/>
  <c r="AH44" i="9"/>
  <c r="AH15" i="9"/>
  <c r="AH10" i="9"/>
  <c r="AH39" i="9"/>
  <c r="AH45" i="9"/>
  <c r="AH29" i="9"/>
  <c r="AH27" i="9"/>
  <c r="AH21" i="9"/>
  <c r="AH35" i="9"/>
  <c r="AH11" i="9"/>
  <c r="AH23" i="9"/>
  <c r="AH17" i="9"/>
  <c r="AH40" i="9"/>
  <c r="AH6" i="41"/>
  <c r="AH6" i="9"/>
  <c r="AH12" i="9"/>
  <c r="AH34" i="9"/>
  <c r="AH36" i="9"/>
  <c r="AH41" i="41"/>
  <c r="AH42" i="41"/>
  <c r="AK28" i="41"/>
  <c r="AK29" i="41"/>
  <c r="AO16" i="41"/>
  <c r="AN16" i="41"/>
  <c r="AL42" i="41"/>
  <c r="AL41" i="41"/>
  <c r="AN10" i="41"/>
  <c r="AH16" i="12"/>
  <c r="AI42" i="41"/>
  <c r="AI41" i="41"/>
  <c r="AL29" i="41"/>
  <c r="AL28" i="41"/>
  <c r="AI34" i="41"/>
  <c r="AI35" i="41"/>
  <c r="AO9" i="41"/>
  <c r="AN9" i="41"/>
  <c r="AO18" i="41"/>
  <c r="AN18" i="41"/>
  <c r="AN13" i="41"/>
  <c r="AO13" i="41"/>
  <c r="AN7" i="41"/>
  <c r="AO7" i="41"/>
  <c r="AH34" i="41"/>
  <c r="AH35" i="41"/>
  <c r="AH14" i="9"/>
  <c r="AL11" i="14"/>
  <c r="AL35" i="14" s="1"/>
  <c r="AL36" i="14"/>
  <c r="AL168" i="14" s="1"/>
  <c r="AR168" i="14" s="1"/>
  <c r="AO17" i="41"/>
  <c r="AN17" i="41"/>
  <c r="C16" i="44"/>
  <c r="AN15" i="41"/>
  <c r="AO15" i="41"/>
  <c r="AI16" i="12"/>
  <c r="AH11" i="14"/>
  <c r="AN8" i="41"/>
  <c r="AO8" i="41"/>
  <c r="AO14" i="41"/>
  <c r="AN14" i="41"/>
  <c r="AK16" i="12"/>
  <c r="AK35" i="41"/>
  <c r="AK34" i="41"/>
  <c r="AH29" i="41"/>
  <c r="AH28" i="41"/>
  <c r="AK36" i="14"/>
  <c r="AK11" i="14"/>
  <c r="AK35" i="14" s="1"/>
  <c r="AK191" i="14" s="1"/>
  <c r="AL19" i="9"/>
  <c r="AL22" i="9"/>
  <c r="AL37" i="9"/>
  <c r="AL10" i="9"/>
  <c r="AL29" i="9"/>
  <c r="AL34" i="9"/>
  <c r="AL15" i="9"/>
  <c r="AL35" i="9"/>
  <c r="AL6" i="9"/>
  <c r="AL46" i="9"/>
  <c r="AL14" i="9"/>
  <c r="AL38" i="9"/>
  <c r="AL6" i="41"/>
  <c r="AL39" i="9"/>
  <c r="AL28" i="9"/>
  <c r="AL24" i="9"/>
  <c r="AL33" i="9"/>
  <c r="AL11" i="9"/>
  <c r="AL16" i="9"/>
  <c r="AL21" i="9"/>
  <c r="AL12" i="9"/>
  <c r="AL18" i="9"/>
  <c r="AL17" i="9"/>
  <c r="AL36" i="9"/>
  <c r="AL42" i="9"/>
  <c r="AL30" i="9"/>
  <c r="AL44" i="9"/>
  <c r="AL40" i="9"/>
  <c r="AL27" i="9"/>
  <c r="AL26" i="9"/>
  <c r="AL9" i="9"/>
  <c r="AL43" i="9"/>
  <c r="AL45" i="9"/>
  <c r="AL23" i="9"/>
  <c r="AI11" i="14"/>
  <c r="AH26" i="9"/>
  <c r="AL54" i="10"/>
  <c r="AK54" i="10"/>
  <c r="AL23" i="10"/>
  <c r="AK23" i="10"/>
  <c r="AK37" i="10"/>
  <c r="AL37" i="10"/>
  <c r="AK11" i="10"/>
  <c r="AL11" i="10"/>
  <c r="AL36" i="10"/>
  <c r="AK36" i="10"/>
  <c r="AK18" i="10"/>
  <c r="AL18" i="10"/>
  <c r="AK45" i="10"/>
  <c r="AL45" i="10"/>
  <c r="AL34" i="10"/>
  <c r="AK34" i="10"/>
  <c r="AK12" i="10"/>
  <c r="AL12" i="10"/>
  <c r="AL17" i="10"/>
  <c r="AK17" i="10"/>
  <c r="AK44" i="10"/>
  <c r="AL44" i="10"/>
  <c r="AK33" i="10"/>
  <c r="AL33" i="10"/>
  <c r="AL35" i="10"/>
  <c r="AK35" i="10"/>
  <c r="AL28" i="10"/>
  <c r="AK28" i="10"/>
  <c r="AK39" i="10"/>
  <c r="AL39" i="10"/>
  <c r="AL10" i="10"/>
  <c r="AK10" i="10"/>
  <c r="AK40" i="10"/>
  <c r="AL40" i="10"/>
  <c r="AL15" i="10"/>
  <c r="AK15" i="10"/>
  <c r="AL29" i="10"/>
  <c r="AK29" i="10"/>
  <c r="AK30" i="10"/>
  <c r="AL30" i="10"/>
  <c r="AK27" i="10"/>
  <c r="AL27" i="10"/>
  <c r="AK43" i="10"/>
  <c r="AL43" i="10"/>
  <c r="AL38" i="10"/>
  <c r="AK38" i="10"/>
  <c r="AL16" i="10"/>
  <c r="AK16" i="10"/>
  <c r="AK22" i="10"/>
  <c r="AL22" i="10"/>
  <c r="AL24" i="10"/>
  <c r="AK24" i="10"/>
  <c r="AJ7" i="3"/>
  <c r="AJ6" i="3"/>
  <c r="AJ7" i="41" s="1"/>
  <c r="AJ7" i="6"/>
  <c r="AJ6" i="6"/>
  <c r="AJ8" i="41" s="1"/>
  <c r="AQ194" i="14"/>
  <c r="AQ182" i="14" s="1"/>
  <c r="AN194" i="14"/>
  <c r="AN182" i="14" s="1"/>
  <c r="AP194" i="14"/>
  <c r="AP182" i="14" s="1"/>
  <c r="AM194" i="14"/>
  <c r="AM182" i="14" s="1"/>
  <c r="AR194" i="14"/>
  <c r="AR182" i="14" s="1"/>
  <c r="AL194" i="14"/>
  <c r="AO194" i="14"/>
  <c r="AO182" i="14" s="1"/>
  <c r="AO195" i="14"/>
  <c r="AO183" i="14" s="1"/>
  <c r="AR195" i="14"/>
  <c r="AR183" i="14" s="1"/>
  <c r="AN195" i="14"/>
  <c r="AN183" i="14" s="1"/>
  <c r="AQ195" i="14"/>
  <c r="AQ183" i="14" s="1"/>
  <c r="AM195" i="14"/>
  <c r="AM183" i="14" s="1"/>
  <c r="AP195" i="14"/>
  <c r="AP183" i="14" s="1"/>
  <c r="AL195" i="14"/>
  <c r="AR196" i="14"/>
  <c r="AR184" i="14" s="1"/>
  <c r="AM196" i="14"/>
  <c r="AM184" i="14" s="1"/>
  <c r="AQ196" i="14"/>
  <c r="AQ184" i="14" s="1"/>
  <c r="AL196" i="14"/>
  <c r="AP196" i="14"/>
  <c r="AP184" i="14" s="1"/>
  <c r="AN196" i="14"/>
  <c r="AN184" i="14" s="1"/>
  <c r="AO196" i="14"/>
  <c r="AO184" i="14" s="1"/>
  <c r="AM197" i="14"/>
  <c r="AM185" i="14" s="1"/>
  <c r="AR197" i="14"/>
  <c r="AR185" i="14" s="1"/>
  <c r="AL197" i="14"/>
  <c r="AO197" i="14"/>
  <c r="AO185" i="14" s="1"/>
  <c r="AQ197" i="14"/>
  <c r="AQ185" i="14" s="1"/>
  <c r="AN197" i="14"/>
  <c r="AN185" i="14" s="1"/>
  <c r="AP197" i="14"/>
  <c r="AP185" i="14" s="1"/>
  <c r="AP193" i="14"/>
  <c r="AP181" i="14" s="1"/>
  <c r="AL193" i="14"/>
  <c r="AO193" i="14"/>
  <c r="AO181" i="14" s="1"/>
  <c r="AR193" i="14"/>
  <c r="AR181" i="14" s="1"/>
  <c r="AM193" i="14"/>
  <c r="AM181" i="14" s="1"/>
  <c r="AQ193" i="14"/>
  <c r="AQ181" i="14" s="1"/>
  <c r="AN193" i="14"/>
  <c r="AN181" i="14" s="1"/>
  <c r="W14" i="7"/>
  <c r="W6" i="7" s="1"/>
  <c r="W9" i="41" s="1"/>
  <c r="W19" i="8"/>
  <c r="W14" i="8" s="1"/>
  <c r="E14" i="7"/>
  <c r="E7" i="7" s="1"/>
  <c r="E19" i="8"/>
  <c r="E16" i="23" s="1"/>
  <c r="H14" i="7"/>
  <c r="H6" i="7" s="1"/>
  <c r="H9" i="41" s="1"/>
  <c r="H19" i="8"/>
  <c r="P14" i="7"/>
  <c r="P7" i="7" s="1"/>
  <c r="P19" i="8"/>
  <c r="P14" i="8" s="1"/>
  <c r="AD14" i="7"/>
  <c r="AD7" i="7" s="1"/>
  <c r="AD19" i="8"/>
  <c r="AF19" i="8"/>
  <c r="AF14" i="8" s="1"/>
  <c r="AF14" i="7"/>
  <c r="AF6" i="7" s="1"/>
  <c r="AF9" i="41" s="1"/>
  <c r="AE14" i="7"/>
  <c r="AE6" i="7" s="1"/>
  <c r="AE9" i="41" s="1"/>
  <c r="AE19" i="8"/>
  <c r="AE14" i="8" s="1"/>
  <c r="Y14" i="7"/>
  <c r="Y7" i="7" s="1"/>
  <c r="Y19" i="8"/>
  <c r="Y14" i="8" s="1"/>
  <c r="G19" i="8"/>
  <c r="G14" i="8" s="1"/>
  <c r="G14" i="7"/>
  <c r="G7" i="7" s="1"/>
  <c r="R19" i="8"/>
  <c r="R16" i="23" s="1"/>
  <c r="R14" i="7"/>
  <c r="R6" i="7" s="1"/>
  <c r="R9" i="41" s="1"/>
  <c r="AG19" i="8"/>
  <c r="AG16" i="23" s="1"/>
  <c r="AG14" i="7"/>
  <c r="AG7" i="7" s="1"/>
  <c r="T19" i="8"/>
  <c r="T16" i="23" s="1"/>
  <c r="T14" i="7"/>
  <c r="T6" i="7" s="1"/>
  <c r="T9" i="41" s="1"/>
  <c r="U14" i="7"/>
  <c r="U7" i="7" s="1"/>
  <c r="U19" i="8"/>
  <c r="U16" i="23" s="1"/>
  <c r="D14" i="7"/>
  <c r="D6" i="7" s="1"/>
  <c r="D9" i="41" s="1"/>
  <c r="D19" i="8"/>
  <c r="AH19" i="10" s="1"/>
  <c r="AA19" i="8"/>
  <c r="AA14" i="8" s="1"/>
  <c r="AA14" i="7"/>
  <c r="AA7" i="7" s="1"/>
  <c r="Q19" i="8"/>
  <c r="Q16" i="23" s="1"/>
  <c r="Q14" i="7"/>
  <c r="Q6" i="7" s="1"/>
  <c r="Q9" i="41" s="1"/>
  <c r="N14" i="7"/>
  <c r="N6" i="7" s="1"/>
  <c r="N9" i="41" s="1"/>
  <c r="N19" i="8"/>
  <c r="N16" i="23" s="1"/>
  <c r="AB19" i="8"/>
  <c r="AB14" i="8" s="1"/>
  <c r="AB14" i="7"/>
  <c r="AB6" i="7" s="1"/>
  <c r="AB9" i="41" s="1"/>
  <c r="AJ19" i="8"/>
  <c r="AJ14" i="7"/>
  <c r="J14" i="7"/>
  <c r="J7" i="7" s="1"/>
  <c r="J19" i="8"/>
  <c r="J14" i="8" s="1"/>
  <c r="Z19" i="8"/>
  <c r="Z14" i="8" s="1"/>
  <c r="Z14" i="7"/>
  <c r="Z7" i="7" s="1"/>
  <c r="F14" i="7"/>
  <c r="F6" i="7" s="1"/>
  <c r="F9" i="41" s="1"/>
  <c r="F19" i="8"/>
  <c r="F16" i="23" s="1"/>
  <c r="X14" i="7"/>
  <c r="X7" i="7" s="1"/>
  <c r="X19" i="8"/>
  <c r="I19" i="8"/>
  <c r="I14" i="8" s="1"/>
  <c r="I14" i="7"/>
  <c r="I6" i="7" s="1"/>
  <c r="I9" i="41" s="1"/>
  <c r="V19" i="8"/>
  <c r="V16" i="23" s="1"/>
  <c r="V14" i="7"/>
  <c r="V7" i="7" s="1"/>
  <c r="L19" i="8"/>
  <c r="L14" i="8" s="1"/>
  <c r="L14" i="7"/>
  <c r="L6" i="7" s="1"/>
  <c r="L9" i="41" s="1"/>
  <c r="AC19" i="8"/>
  <c r="AC16" i="23" s="1"/>
  <c r="AC14" i="7"/>
  <c r="AC6" i="7" s="1"/>
  <c r="AC9" i="41" s="1"/>
  <c r="K14" i="7"/>
  <c r="K6" i="7" s="1"/>
  <c r="K9" i="41" s="1"/>
  <c r="K19" i="8"/>
  <c r="K16" i="23" s="1"/>
  <c r="O14" i="7"/>
  <c r="O6" i="7" s="1"/>
  <c r="O9" i="41" s="1"/>
  <c r="O19" i="8"/>
  <c r="S14" i="7"/>
  <c r="S6" i="7" s="1"/>
  <c r="S9" i="41" s="1"/>
  <c r="S19" i="8"/>
  <c r="S14" i="8" s="1"/>
  <c r="M14" i="7"/>
  <c r="M7" i="7" s="1"/>
  <c r="M19" i="8"/>
  <c r="M14" i="8" s="1"/>
  <c r="L29" i="10"/>
  <c r="L13" i="27"/>
  <c r="AD12" i="21"/>
  <c r="AD10" i="10"/>
  <c r="AD9" i="8"/>
  <c r="E14" i="25"/>
  <c r="E24" i="10"/>
  <c r="AJ10" i="10"/>
  <c r="AJ9" i="8"/>
  <c r="AJ12" i="21"/>
  <c r="G43" i="10"/>
  <c r="G42" i="8"/>
  <c r="G11" i="33"/>
  <c r="J6" i="3"/>
  <c r="J7" i="41" s="1"/>
  <c r="J7" i="3"/>
  <c r="L12" i="33"/>
  <c r="L44" i="10"/>
  <c r="E12" i="10"/>
  <c r="E14" i="21"/>
  <c r="AJ16" i="10"/>
  <c r="AJ13" i="23"/>
  <c r="W33" i="10"/>
  <c r="W32" i="8"/>
  <c r="W11" i="31"/>
  <c r="F30" i="10"/>
  <c r="F14" i="27"/>
  <c r="AE6" i="3"/>
  <c r="AE7" i="41" s="1"/>
  <c r="AE7" i="3"/>
  <c r="AE39" i="10"/>
  <c r="AE17" i="31"/>
  <c r="AD12" i="10"/>
  <c r="AD14" i="21"/>
  <c r="J15" i="10"/>
  <c r="J12" i="23"/>
  <c r="AD40" i="10"/>
  <c r="AD18" i="31"/>
  <c r="R12" i="23"/>
  <c r="R15" i="10"/>
  <c r="D13" i="25"/>
  <c r="AI23" i="10"/>
  <c r="D23" i="10"/>
  <c r="AH23" i="10"/>
  <c r="R14" i="27"/>
  <c r="R30" i="10"/>
  <c r="I23" i="10"/>
  <c r="I13" i="25"/>
  <c r="AA14" i="33"/>
  <c r="W14" i="33"/>
  <c r="M10" i="10"/>
  <c r="M9" i="8"/>
  <c r="M12" i="21"/>
  <c r="E48" i="8"/>
  <c r="E54" i="10"/>
  <c r="I38" i="10"/>
  <c r="I16" i="31"/>
  <c r="AG34" i="10"/>
  <c r="AG12" i="31"/>
  <c r="Z30" i="10"/>
  <c r="Z14" i="27"/>
  <c r="AD15" i="31"/>
  <c r="AD37" i="10"/>
  <c r="X15" i="23"/>
  <c r="X18" i="10"/>
  <c r="AF30" i="10"/>
  <c r="AF14" i="27"/>
  <c r="AD7" i="6"/>
  <c r="AD6" i="6"/>
  <c r="AD8" i="41" s="1"/>
  <c r="E38" i="10"/>
  <c r="E16" i="31"/>
  <c r="AE7" i="6"/>
  <c r="AE6" i="6"/>
  <c r="AE8" i="41" s="1"/>
  <c r="U27" i="10"/>
  <c r="U11" i="27"/>
  <c r="U26" i="8"/>
  <c r="L15" i="23"/>
  <c r="L18" i="10"/>
  <c r="U7" i="3"/>
  <c r="U6" i="3"/>
  <c r="U7" i="41" s="1"/>
  <c r="O37" i="10"/>
  <c r="O15" i="31"/>
  <c r="W35" i="10"/>
  <c r="W13" i="31"/>
  <c r="AB42" i="8"/>
  <c r="AB11" i="33"/>
  <c r="AB43" i="10"/>
  <c r="E27" i="10"/>
  <c r="E11" i="27"/>
  <c r="E26" i="8"/>
  <c r="P35" i="10"/>
  <c r="P13" i="31"/>
  <c r="M44" i="10"/>
  <c r="M12" i="33"/>
  <c r="T12" i="27"/>
  <c r="T28" i="10"/>
  <c r="S18" i="31"/>
  <c r="S40" i="10"/>
  <c r="AG16" i="10"/>
  <c r="AG13" i="23"/>
  <c r="R12" i="33"/>
  <c r="R44" i="10"/>
  <c r="AC6" i="3"/>
  <c r="AC7" i="41" s="1"/>
  <c r="AC7" i="3"/>
  <c r="F34" i="10"/>
  <c r="F12" i="31"/>
  <c r="S43" i="10"/>
  <c r="S42" i="8"/>
  <c r="S11" i="33"/>
  <c r="S48" i="8"/>
  <c r="S54" i="10"/>
  <c r="AF17" i="31"/>
  <c r="AF39" i="10"/>
  <c r="AB15" i="10"/>
  <c r="AB12" i="23"/>
  <c r="Z38" i="10"/>
  <c r="Z16" i="31"/>
  <c r="O21" i="8"/>
  <c r="O12" i="25"/>
  <c r="O22" i="10"/>
  <c r="AC43" i="10"/>
  <c r="AC42" i="8"/>
  <c r="AC11" i="33"/>
  <c r="AB6" i="3"/>
  <c r="AB7" i="41" s="1"/>
  <c r="AB7" i="3"/>
  <c r="G36" i="10"/>
  <c r="G14" i="31"/>
  <c r="N36" i="10"/>
  <c r="N14" i="31"/>
  <c r="R32" i="8"/>
  <c r="R33" i="10"/>
  <c r="R11" i="31"/>
  <c r="M12" i="31"/>
  <c r="M34" i="10"/>
  <c r="Z27" i="10"/>
  <c r="Z26" i="8"/>
  <c r="Z11" i="27"/>
  <c r="R36" i="10"/>
  <c r="R14" i="31"/>
  <c r="AJ12" i="31"/>
  <c r="AJ34" i="10"/>
  <c r="V12" i="33"/>
  <c r="V44" i="10"/>
  <c r="O13" i="25"/>
  <c r="O23" i="10"/>
  <c r="D16" i="31"/>
  <c r="AH38" i="10"/>
  <c r="AI38" i="10"/>
  <c r="D38" i="10"/>
  <c r="AI16" i="10"/>
  <c r="D13" i="23"/>
  <c r="D16" i="10"/>
  <c r="AH16" i="10"/>
  <c r="H27" i="10"/>
  <c r="H11" i="27"/>
  <c r="H26" i="8"/>
  <c r="Y35" i="10"/>
  <c r="Y13" i="31"/>
  <c r="P13" i="33"/>
  <c r="P45" i="10"/>
  <c r="X42" i="8"/>
  <c r="X11" i="33"/>
  <c r="X43" i="10"/>
  <c r="W6" i="3"/>
  <c r="W7" i="41" s="1"/>
  <c r="W7" i="3"/>
  <c r="Y14" i="31"/>
  <c r="Y36" i="10"/>
  <c r="Y9" i="8"/>
  <c r="Y10" i="10"/>
  <c r="Y12" i="21"/>
  <c r="V14" i="33"/>
  <c r="AG12" i="33"/>
  <c r="AG44" i="10"/>
  <c r="AC16" i="10"/>
  <c r="AC13" i="23"/>
  <c r="R27" i="10"/>
  <c r="R26" i="8"/>
  <c r="R11" i="27"/>
  <c r="AG42" i="8"/>
  <c r="AG43" i="10"/>
  <c r="AG11" i="33"/>
  <c r="Q28" i="10"/>
  <c r="Q12" i="27"/>
  <c r="U38" i="10"/>
  <c r="U16" i="31"/>
  <c r="S14" i="25"/>
  <c r="S24" i="10"/>
  <c r="S14" i="33"/>
  <c r="AE30" i="10"/>
  <c r="AE14" i="27"/>
  <c r="K13" i="33"/>
  <c r="K45" i="10"/>
  <c r="M15" i="31"/>
  <c r="M37" i="10"/>
  <c r="U10" i="10"/>
  <c r="U9" i="8"/>
  <c r="U12" i="21"/>
  <c r="K6" i="3"/>
  <c r="K7" i="41" s="1"/>
  <c r="K7" i="3"/>
  <c r="L26" i="8"/>
  <c r="L27" i="10"/>
  <c r="L11" i="27"/>
  <c r="AB23" i="10"/>
  <c r="AB13" i="25"/>
  <c r="F39" i="10"/>
  <c r="F17" i="31"/>
  <c r="I21" i="8"/>
  <c r="I12" i="25"/>
  <c r="I22" i="10"/>
  <c r="T13" i="23"/>
  <c r="T16" i="10"/>
  <c r="F44" i="10"/>
  <c r="F12" i="33"/>
  <c r="H12" i="27"/>
  <c r="H28" i="10"/>
  <c r="W40" i="10"/>
  <c r="W18" i="31"/>
  <c r="W12" i="27"/>
  <c r="W28" i="10"/>
  <c r="V12" i="27"/>
  <c r="V28" i="10"/>
  <c r="N39" i="10"/>
  <c r="N17" i="31"/>
  <c r="J27" i="10"/>
  <c r="J26" i="8"/>
  <c r="J11" i="27"/>
  <c r="H15" i="31"/>
  <c r="H37" i="10"/>
  <c r="L17" i="31"/>
  <c r="L39" i="10"/>
  <c r="T10" i="10"/>
  <c r="T12" i="21"/>
  <c r="T9" i="8"/>
  <c r="H11" i="33"/>
  <c r="H42" i="8"/>
  <c r="H43" i="10"/>
  <c r="R13" i="33"/>
  <c r="R45" i="10"/>
  <c r="T35" i="10"/>
  <c r="T13" i="31"/>
  <c r="AF12" i="33"/>
  <c r="AF44" i="10"/>
  <c r="AA35" i="10"/>
  <c r="AA13" i="31"/>
  <c r="F24" i="10"/>
  <c r="F14" i="25"/>
  <c r="X12" i="23"/>
  <c r="X15" i="10"/>
  <c r="AC13" i="33"/>
  <c r="AC45" i="10"/>
  <c r="E18" i="31"/>
  <c r="E40" i="10"/>
  <c r="I28" i="10"/>
  <c r="I12" i="27"/>
  <c r="AJ15" i="10"/>
  <c r="AJ12" i="23"/>
  <c r="H24" i="10"/>
  <c r="H14" i="25"/>
  <c r="D6" i="3"/>
  <c r="D7" i="41" s="1"/>
  <c r="D7" i="3"/>
  <c r="T14" i="23"/>
  <c r="T17" i="10"/>
  <c r="V16" i="31"/>
  <c r="V38" i="10"/>
  <c r="W14" i="25"/>
  <c r="W24" i="10"/>
  <c r="H15" i="10"/>
  <c r="H12" i="23"/>
  <c r="J12" i="10"/>
  <c r="J14" i="21"/>
  <c r="R7" i="6"/>
  <c r="R6" i="6"/>
  <c r="R8" i="41" s="1"/>
  <c r="Y14" i="25"/>
  <c r="Y24" i="10"/>
  <c r="D7" i="6"/>
  <c r="D6" i="6"/>
  <c r="D8" i="41" s="1"/>
  <c r="AF11" i="31"/>
  <c r="AF32" i="8"/>
  <c r="AF33" i="10"/>
  <c r="AE48" i="8"/>
  <c r="AE54" i="10"/>
  <c r="R11" i="33"/>
  <c r="R43" i="10"/>
  <c r="R42" i="8"/>
  <c r="V13" i="23"/>
  <c r="V16" i="10"/>
  <c r="Z23" i="10"/>
  <c r="Z13" i="25"/>
  <c r="AD12" i="27"/>
  <c r="AD28" i="10"/>
  <c r="AA30" i="10"/>
  <c r="AA14" i="27"/>
  <c r="O40" i="10"/>
  <c r="O18" i="31"/>
  <c r="X7" i="6"/>
  <c r="X6" i="6"/>
  <c r="X8" i="41" s="1"/>
  <c r="P7" i="3"/>
  <c r="P6" i="3"/>
  <c r="P7" i="41" s="1"/>
  <c r="U12" i="10"/>
  <c r="U14" i="21"/>
  <c r="AC13" i="31"/>
  <c r="AC35" i="10"/>
  <c r="H14" i="33"/>
  <c r="K42" i="8"/>
  <c r="K43" i="10"/>
  <c r="K11" i="33"/>
  <c r="H39" i="10"/>
  <c r="H17" i="31"/>
  <c r="AG13" i="31"/>
  <c r="AG35" i="10"/>
  <c r="F35" i="10"/>
  <c r="F13" i="31"/>
  <c r="N15" i="31"/>
  <c r="N37" i="10"/>
  <c r="Y11" i="10"/>
  <c r="Y13" i="21"/>
  <c r="O44" i="10"/>
  <c r="O12" i="33"/>
  <c r="Q14" i="27"/>
  <c r="Q30" i="10"/>
  <c r="AF11" i="33"/>
  <c r="AF43" i="10"/>
  <c r="AF42" i="8"/>
  <c r="J17" i="10"/>
  <c r="J14" i="23"/>
  <c r="U12" i="33"/>
  <c r="U44" i="10"/>
  <c r="W9" i="8"/>
  <c r="W10" i="10"/>
  <c r="W12" i="21"/>
  <c r="Y7" i="3"/>
  <c r="Y6" i="3"/>
  <c r="Y7" i="41" s="1"/>
  <c r="H45" i="10"/>
  <c r="H13" i="33"/>
  <c r="G17" i="31"/>
  <c r="G39" i="10"/>
  <c r="Q43" i="10"/>
  <c r="Q11" i="33"/>
  <c r="Q42" i="8"/>
  <c r="O6" i="6"/>
  <c r="O8" i="41" s="1"/>
  <c r="O7" i="6"/>
  <c r="L13" i="31"/>
  <c r="L35" i="10"/>
  <c r="S34" i="10"/>
  <c r="S12" i="31"/>
  <c r="AG11" i="27"/>
  <c r="AG27" i="10"/>
  <c r="AG26" i="8"/>
  <c r="O14" i="33"/>
  <c r="AB17" i="10"/>
  <c r="AB14" i="23"/>
  <c r="E13" i="33"/>
  <c r="E45" i="10"/>
  <c r="K17" i="31"/>
  <c r="K39" i="10"/>
  <c r="Q11" i="31"/>
  <c r="Q32" i="8"/>
  <c r="Q33" i="10"/>
  <c r="N14" i="33"/>
  <c r="J16" i="10"/>
  <c r="J13" i="23"/>
  <c r="X12" i="27"/>
  <c r="X28" i="10"/>
  <c r="K10" i="10"/>
  <c r="K9" i="8"/>
  <c r="K12" i="21"/>
  <c r="P16" i="31"/>
  <c r="P38" i="10"/>
  <c r="E11" i="31"/>
  <c r="E33" i="10"/>
  <c r="E32" i="8"/>
  <c r="J10" i="10"/>
  <c r="J12" i="21"/>
  <c r="J9" i="8"/>
  <c r="X14" i="31"/>
  <c r="X36" i="10"/>
  <c r="K12" i="33"/>
  <c r="K44" i="10"/>
  <c r="R54" i="10"/>
  <c r="R48" i="8"/>
  <c r="AG15" i="31"/>
  <c r="AG37" i="10"/>
  <c r="S13" i="33"/>
  <c r="S45" i="10"/>
  <c r="G22" i="10"/>
  <c r="G21" i="8"/>
  <c r="G12" i="25"/>
  <c r="AE16" i="31"/>
  <c r="AE38" i="10"/>
  <c r="H16" i="10"/>
  <c r="H13" i="23"/>
  <c r="O11" i="27"/>
  <c r="O27" i="10"/>
  <c r="O26" i="8"/>
  <c r="T54" i="10"/>
  <c r="T48" i="8"/>
  <c r="Z11" i="33"/>
  <c r="Z42" i="8"/>
  <c r="Z43" i="10"/>
  <c r="J54" i="10"/>
  <c r="J48" i="8"/>
  <c r="J13" i="21"/>
  <c r="J11" i="10"/>
  <c r="Z13" i="21"/>
  <c r="Z11" i="10"/>
  <c r="H12" i="25"/>
  <c r="H21" i="8"/>
  <c r="H22" i="10"/>
  <c r="X13" i="25"/>
  <c r="X23" i="10"/>
  <c r="AB16" i="31"/>
  <c r="AB38" i="10"/>
  <c r="AB18" i="10"/>
  <c r="AB15" i="23"/>
  <c r="AC39" i="10"/>
  <c r="AC17" i="31"/>
  <c r="M42" i="8"/>
  <c r="M11" i="33"/>
  <c r="M43" i="10"/>
  <c r="AD22" i="10"/>
  <c r="AD21" i="8"/>
  <c r="AD12" i="25"/>
  <c r="T45" i="10"/>
  <c r="T13" i="33"/>
  <c r="AC18" i="31"/>
  <c r="AC40" i="10"/>
  <c r="AC38" i="10"/>
  <c r="AC16" i="31"/>
  <c r="D13" i="21"/>
  <c r="AI11" i="10"/>
  <c r="D11" i="10"/>
  <c r="AH11" i="10"/>
  <c r="H13" i="31"/>
  <c r="H35" i="10"/>
  <c r="AG12" i="27"/>
  <c r="AG28" i="10"/>
  <c r="T12" i="23"/>
  <c r="T15" i="10"/>
  <c r="N17" i="10"/>
  <c r="N14" i="23"/>
  <c r="N54" i="10"/>
  <c r="N48" i="8"/>
  <c r="AA13" i="23"/>
  <c r="AA16" i="10"/>
  <c r="AB44" i="10"/>
  <c r="AB12" i="33"/>
  <c r="D14" i="33"/>
  <c r="D9" i="8"/>
  <c r="D10" i="10"/>
  <c r="AI10" i="10"/>
  <c r="D12" i="21"/>
  <c r="AH10" i="10"/>
  <c r="R24" i="10"/>
  <c r="R14" i="25"/>
  <c r="Z44" i="10"/>
  <c r="Z12" i="33"/>
  <c r="F18" i="10"/>
  <c r="F15" i="23"/>
  <c r="R17" i="10"/>
  <c r="R14" i="23"/>
  <c r="E7" i="6"/>
  <c r="E6" i="6"/>
  <c r="E8" i="41" s="1"/>
  <c r="S28" i="10"/>
  <c r="S12" i="27"/>
  <c r="AA18" i="10"/>
  <c r="AA15" i="23"/>
  <c r="AJ27" i="10"/>
  <c r="AJ11" i="27"/>
  <c r="AJ26" i="8"/>
  <c r="P15" i="23"/>
  <c r="P18" i="10"/>
  <c r="Z32" i="8"/>
  <c r="Z11" i="31"/>
  <c r="Z33" i="10"/>
  <c r="N21" i="8"/>
  <c r="N12" i="25"/>
  <c r="N22" i="10"/>
  <c r="S44" i="10"/>
  <c r="S12" i="33"/>
  <c r="AJ16" i="31"/>
  <c r="AJ38" i="10"/>
  <c r="G38" i="10"/>
  <c r="G16" i="31"/>
  <c r="E6" i="3"/>
  <c r="E7" i="41" s="1"/>
  <c r="E7" i="3"/>
  <c r="AD16" i="10"/>
  <c r="AD13" i="23"/>
  <c r="E28" i="10"/>
  <c r="E12" i="27"/>
  <c r="K12" i="23"/>
  <c r="K15" i="10"/>
  <c r="E15" i="31"/>
  <c r="E37" i="10"/>
  <c r="F13" i="25"/>
  <c r="F23" i="10"/>
  <c r="R17" i="31"/>
  <c r="R39" i="10"/>
  <c r="M36" i="10"/>
  <c r="M14" i="31"/>
  <c r="Z34" i="10"/>
  <c r="Z12" i="31"/>
  <c r="V48" i="8"/>
  <c r="V54" i="10"/>
  <c r="U13" i="25"/>
  <c r="U23" i="10"/>
  <c r="M21" i="8"/>
  <c r="M22" i="10"/>
  <c r="M12" i="25"/>
  <c r="K14" i="33"/>
  <c r="AJ15" i="31"/>
  <c r="AJ37" i="10"/>
  <c r="AI30" i="10"/>
  <c r="D30" i="10"/>
  <c r="AH30" i="10"/>
  <c r="D14" i="27"/>
  <c r="M6" i="6"/>
  <c r="M8" i="41" s="1"/>
  <c r="M7" i="6"/>
  <c r="F22" i="10"/>
  <c r="F21" i="8"/>
  <c r="F12" i="25"/>
  <c r="J14" i="31"/>
  <c r="J36" i="10"/>
  <c r="AI43" i="10"/>
  <c r="D11" i="33"/>
  <c r="D42" i="8"/>
  <c r="AH43" i="10"/>
  <c r="D43" i="10"/>
  <c r="V7" i="6"/>
  <c r="V6" i="6"/>
  <c r="V8" i="41" s="1"/>
  <c r="P15" i="10"/>
  <c r="P12" i="23"/>
  <c r="K14" i="31"/>
  <c r="K36" i="10"/>
  <c r="N13" i="21"/>
  <c r="N11" i="10"/>
  <c r="AF54" i="10"/>
  <c r="AF48" i="8"/>
  <c r="G40" i="10"/>
  <c r="G18" i="31"/>
  <c r="M13" i="31"/>
  <c r="M35" i="10"/>
  <c r="AJ13" i="33"/>
  <c r="AJ45" i="10"/>
  <c r="AA22" i="10"/>
  <c r="AA21" i="8"/>
  <c r="AA12" i="25"/>
  <c r="Y13" i="25"/>
  <c r="Y23" i="10"/>
  <c r="AF16" i="31"/>
  <c r="AF38" i="10"/>
  <c r="Q13" i="33"/>
  <c r="Q45" i="10"/>
  <c r="AE18" i="10"/>
  <c r="AE15" i="23"/>
  <c r="F14" i="23"/>
  <c r="F17" i="10"/>
  <c r="AC22" i="10"/>
  <c r="AC21" i="8"/>
  <c r="AC12" i="25"/>
  <c r="K13" i="25"/>
  <c r="K23" i="10"/>
  <c r="K40" i="10"/>
  <c r="K18" i="31"/>
  <c r="AG22" i="10"/>
  <c r="AG21" i="8"/>
  <c r="AG12" i="25"/>
  <c r="AB34" i="10"/>
  <c r="AB12" i="31"/>
  <c r="S13" i="27"/>
  <c r="S29" i="10"/>
  <c r="U14" i="25"/>
  <c r="U24" i="10"/>
  <c r="AF13" i="33"/>
  <c r="AF45" i="10"/>
  <c r="D15" i="10"/>
  <c r="D12" i="23"/>
  <c r="AH15" i="10"/>
  <c r="AI15" i="10"/>
  <c r="AB30" i="10"/>
  <c r="AB14" i="27"/>
  <c r="E10" i="10"/>
  <c r="E9" i="8"/>
  <c r="E12" i="21"/>
  <c r="Y12" i="23"/>
  <c r="Y15" i="10"/>
  <c r="P26" i="8"/>
  <c r="P27" i="10"/>
  <c r="P11" i="27"/>
  <c r="Q12" i="21"/>
  <c r="Q9" i="8"/>
  <c r="Q10" i="10"/>
  <c r="E44" i="10"/>
  <c r="E12" i="33"/>
  <c r="K16" i="10"/>
  <c r="K13" i="23"/>
  <c r="AD12" i="33"/>
  <c r="AD44" i="10"/>
  <c r="Q14" i="31"/>
  <c r="Q36" i="10"/>
  <c r="AF13" i="31"/>
  <c r="AF35" i="10"/>
  <c r="O14" i="31"/>
  <c r="O36" i="10"/>
  <c r="H17" i="10"/>
  <c r="H14" i="23"/>
  <c r="L54" i="10"/>
  <c r="L48" i="8"/>
  <c r="Q14" i="33"/>
  <c r="J15" i="23"/>
  <c r="J18" i="10"/>
  <c r="N27" i="10"/>
  <c r="N11" i="27"/>
  <c r="N26" i="8"/>
  <c r="AC13" i="27"/>
  <c r="AC29" i="10"/>
  <c r="G13" i="31"/>
  <c r="G35" i="10"/>
  <c r="F12" i="23"/>
  <c r="F15" i="10"/>
  <c r="T14" i="27"/>
  <c r="T30" i="10"/>
  <c r="L14" i="27"/>
  <c r="L30" i="10"/>
  <c r="P40" i="10"/>
  <c r="P18" i="31"/>
  <c r="J16" i="31"/>
  <c r="J38" i="10"/>
  <c r="J13" i="27"/>
  <c r="J29" i="10"/>
  <c r="U12" i="31"/>
  <c r="U34" i="10"/>
  <c r="AI40" i="10"/>
  <c r="D18" i="31"/>
  <c r="D40" i="10"/>
  <c r="AH40" i="10"/>
  <c r="AA18" i="31"/>
  <c r="AA40" i="10"/>
  <c r="X16" i="31"/>
  <c r="X38" i="10"/>
  <c r="G27" i="10"/>
  <c r="G11" i="27"/>
  <c r="G26" i="8"/>
  <c r="AJ12" i="25"/>
  <c r="AJ22" i="10"/>
  <c r="AJ21" i="8"/>
  <c r="Y48" i="8"/>
  <c r="Y54" i="10"/>
  <c r="G6" i="3"/>
  <c r="G7" i="41" s="1"/>
  <c r="G7" i="3"/>
  <c r="H48" i="8"/>
  <c r="H54" i="10"/>
  <c r="J12" i="25"/>
  <c r="J21" i="8"/>
  <c r="J22" i="10"/>
  <c r="X11" i="27"/>
  <c r="X26" i="8"/>
  <c r="X27" i="10"/>
  <c r="K21" i="8"/>
  <c r="K12" i="25"/>
  <c r="K22" i="10"/>
  <c r="X48" i="8"/>
  <c r="X54" i="10"/>
  <c r="L14" i="31"/>
  <c r="L36" i="10"/>
  <c r="AJ43" i="10"/>
  <c r="AJ11" i="33"/>
  <c r="AJ42" i="8"/>
  <c r="Q6" i="3"/>
  <c r="Q7" i="41" s="1"/>
  <c r="Q7" i="3"/>
  <c r="U15" i="10"/>
  <c r="U12" i="23"/>
  <c r="AB45" i="10"/>
  <c r="AB13" i="33"/>
  <c r="AJ11" i="10"/>
  <c r="AJ13" i="21"/>
  <c r="T12" i="31"/>
  <c r="T34" i="10"/>
  <c r="N15" i="23"/>
  <c r="N18" i="10"/>
  <c r="AA28" i="10"/>
  <c r="AA12" i="27"/>
  <c r="Q12" i="25"/>
  <c r="Q21" i="8"/>
  <c r="Q22" i="10"/>
  <c r="AI37" i="10"/>
  <c r="D37" i="10"/>
  <c r="AH37" i="10"/>
  <c r="D15" i="31"/>
  <c r="M17" i="10"/>
  <c r="M14" i="23"/>
  <c r="I43" i="10"/>
  <c r="I42" i="8"/>
  <c r="I11" i="33"/>
  <c r="F9" i="8"/>
  <c r="F12" i="21"/>
  <c r="F10" i="10"/>
  <c r="F15" i="31"/>
  <c r="F37" i="10"/>
  <c r="E18" i="10"/>
  <c r="E15" i="23"/>
  <c r="AC44" i="10"/>
  <c r="AC12" i="33"/>
  <c r="G6" i="6"/>
  <c r="G8" i="41" s="1"/>
  <c r="G7" i="6"/>
  <c r="AF13" i="25"/>
  <c r="AF23" i="10"/>
  <c r="J15" i="31"/>
  <c r="J37" i="10"/>
  <c r="AD17" i="31"/>
  <c r="AD39" i="10"/>
  <c r="V37" i="10"/>
  <c r="V15" i="31"/>
  <c r="K11" i="10"/>
  <c r="K13" i="21"/>
  <c r="S22" i="10"/>
  <c r="S12" i="25"/>
  <c r="S21" i="8"/>
  <c r="G10" i="10"/>
  <c r="G9" i="8"/>
  <c r="G12" i="21"/>
  <c r="P23" i="10"/>
  <c r="P13" i="25"/>
  <c r="AA54" i="10"/>
  <c r="AA48" i="8"/>
  <c r="W39" i="10"/>
  <c r="W17" i="31"/>
  <c r="N12" i="23"/>
  <c r="N15" i="10"/>
  <c r="AA12" i="31"/>
  <c r="AA34" i="10"/>
  <c r="AA11" i="33"/>
  <c r="AA42" i="8"/>
  <c r="AA43" i="10"/>
  <c r="O28" i="10"/>
  <c r="O12" i="27"/>
  <c r="N10" i="10"/>
  <c r="N9" i="8"/>
  <c r="N12" i="21"/>
  <c r="Y7" i="6"/>
  <c r="Y6" i="6"/>
  <c r="Y8" i="41" s="1"/>
  <c r="M54" i="10"/>
  <c r="M48" i="8"/>
  <c r="G13" i="33"/>
  <c r="G45" i="10"/>
  <c r="Z12" i="21"/>
  <c r="Z9" i="8"/>
  <c r="Z10" i="10"/>
  <c r="AE33" i="10"/>
  <c r="AE32" i="8"/>
  <c r="AE11" i="31"/>
  <c r="AB11" i="10"/>
  <c r="AB13" i="21"/>
  <c r="M14" i="21"/>
  <c r="M12" i="10"/>
  <c r="Y14" i="27"/>
  <c r="Y30" i="10"/>
  <c r="M23" i="10"/>
  <c r="M13" i="25"/>
  <c r="M17" i="31"/>
  <c r="M39" i="10"/>
  <c r="X33" i="10"/>
  <c r="X32" i="8"/>
  <c r="X11" i="31"/>
  <c r="AJ17" i="10"/>
  <c r="AJ14" i="23"/>
  <c r="W11" i="10"/>
  <c r="W13" i="21"/>
  <c r="AE14" i="33"/>
  <c r="S15" i="31"/>
  <c r="S37" i="10"/>
  <c r="AF18" i="10"/>
  <c r="AF15" i="23"/>
  <c r="F29" i="10"/>
  <c r="F13" i="27"/>
  <c r="AG11" i="10"/>
  <c r="AG13" i="21"/>
  <c r="AG38" i="10"/>
  <c r="AG16" i="31"/>
  <c r="G24" i="10"/>
  <c r="G14" i="25"/>
  <c r="E42" i="8"/>
  <c r="E43" i="10"/>
  <c r="E11" i="33"/>
  <c r="G11" i="10"/>
  <c r="G13" i="21"/>
  <c r="AD24" i="10"/>
  <c r="AD14" i="25"/>
  <c r="O11" i="31"/>
  <c r="O33" i="10"/>
  <c r="O32" i="8"/>
  <c r="N12" i="10"/>
  <c r="N14" i="21"/>
  <c r="AF12" i="27"/>
  <c r="AF28" i="10"/>
  <c r="X45" i="10"/>
  <c r="X13" i="33"/>
  <c r="I54" i="10"/>
  <c r="I48" i="8"/>
  <c r="P14" i="23"/>
  <c r="P17" i="10"/>
  <c r="K14" i="25"/>
  <c r="K24" i="10"/>
  <c r="V30" i="10"/>
  <c r="V14" i="27"/>
  <c r="Q23" i="10"/>
  <c r="Q13" i="25"/>
  <c r="AC32" i="8"/>
  <c r="AC33" i="10"/>
  <c r="AC11" i="31"/>
  <c r="S14" i="31"/>
  <c r="S36" i="10"/>
  <c r="AA12" i="23"/>
  <c r="AA15" i="10"/>
  <c r="AA15" i="31"/>
  <c r="AA37" i="10"/>
  <c r="V26" i="8"/>
  <c r="V27" i="10"/>
  <c r="V11" i="27"/>
  <c r="T21" i="8"/>
  <c r="T22" i="10"/>
  <c r="T12" i="25"/>
  <c r="AF14" i="33"/>
  <c r="G12" i="33"/>
  <c r="G44" i="10"/>
  <c r="W13" i="33"/>
  <c r="W45" i="10"/>
  <c r="AA45" i="10"/>
  <c r="AA13" i="33"/>
  <c r="S30" i="10"/>
  <c r="S14" i="27"/>
  <c r="N13" i="33"/>
  <c r="N45" i="10"/>
  <c r="H14" i="31"/>
  <c r="H36" i="10"/>
  <c r="AB29" i="10"/>
  <c r="AB13" i="27"/>
  <c r="AB36" i="10"/>
  <c r="AB14" i="31"/>
  <c r="AA36" i="10"/>
  <c r="AA14" i="31"/>
  <c r="AI12" i="10"/>
  <c r="D12" i="10"/>
  <c r="AH12" i="10"/>
  <c r="D14" i="21"/>
  <c r="Q37" i="10"/>
  <c r="Q15" i="31"/>
  <c r="Q27" i="10"/>
  <c r="Q26" i="8"/>
  <c r="Q11" i="27"/>
  <c r="E13" i="31"/>
  <c r="E35" i="10"/>
  <c r="AF12" i="23"/>
  <c r="AF15" i="10"/>
  <c r="X7" i="3"/>
  <c r="X6" i="3"/>
  <c r="X7" i="41" s="1"/>
  <c r="N7" i="6"/>
  <c r="N6" i="6"/>
  <c r="N8" i="41" s="1"/>
  <c r="I14" i="33"/>
  <c r="AJ36" i="10"/>
  <c r="AJ14" i="31"/>
  <c r="AC54" i="10"/>
  <c r="AC48" i="8"/>
  <c r="L23" i="10"/>
  <c r="L13" i="25"/>
  <c r="W30" i="10"/>
  <c r="W14" i="27"/>
  <c r="G15" i="31"/>
  <c r="G37" i="10"/>
  <c r="AB54" i="10"/>
  <c r="AB48" i="8"/>
  <c r="Q12" i="10"/>
  <c r="Q14" i="21"/>
  <c r="J14" i="27"/>
  <c r="J30" i="10"/>
  <c r="AG18" i="31"/>
  <c r="AG40" i="10"/>
  <c r="P54" i="10"/>
  <c r="P48" i="8"/>
  <c r="AD12" i="23"/>
  <c r="AD15" i="10"/>
  <c r="I12" i="33"/>
  <c r="I44" i="10"/>
  <c r="H6" i="6"/>
  <c r="H8" i="41" s="1"/>
  <c r="H7" i="6"/>
  <c r="P30" i="10"/>
  <c r="P14" i="27"/>
  <c r="V22" i="10"/>
  <c r="V21" i="8"/>
  <c r="V12" i="25"/>
  <c r="U11" i="31"/>
  <c r="U32" i="8"/>
  <c r="U33" i="10"/>
  <c r="Y15" i="31"/>
  <c r="Y37" i="10"/>
  <c r="AB12" i="10"/>
  <c r="AB14" i="21"/>
  <c r="AD32" i="8"/>
  <c r="AD33" i="10"/>
  <c r="AD11" i="31"/>
  <c r="Z12" i="10"/>
  <c r="Z14" i="21"/>
  <c r="F7" i="3"/>
  <c r="F6" i="3"/>
  <c r="F7" i="41" s="1"/>
  <c r="Y11" i="27"/>
  <c r="Y27" i="10"/>
  <c r="Y26" i="8"/>
  <c r="L15" i="10"/>
  <c r="L12" i="23"/>
  <c r="AC14" i="31"/>
  <c r="AC36" i="10"/>
  <c r="L22" i="10"/>
  <c r="L12" i="25"/>
  <c r="L21" i="8"/>
  <c r="Q29" i="10"/>
  <c r="Q13" i="27"/>
  <c r="Y44" i="10"/>
  <c r="Y12" i="33"/>
  <c r="U36" i="10"/>
  <c r="U14" i="31"/>
  <c r="AD11" i="10"/>
  <c r="AD13" i="21"/>
  <c r="O14" i="23"/>
  <c r="O17" i="10"/>
  <c r="E22" i="10"/>
  <c r="E12" i="25"/>
  <c r="E21" i="8"/>
  <c r="L10" i="10"/>
  <c r="L12" i="21"/>
  <c r="L9" i="8"/>
  <c r="AE18" i="31"/>
  <c r="AE40" i="10"/>
  <c r="AA17" i="31"/>
  <c r="AA39" i="10"/>
  <c r="Y38" i="10"/>
  <c r="Y16" i="31"/>
  <c r="F13" i="33"/>
  <c r="F45" i="10"/>
  <c r="H16" i="31"/>
  <c r="H38" i="10"/>
  <c r="E39" i="10"/>
  <c r="E17" i="31"/>
  <c r="P34" i="10"/>
  <c r="P12" i="31"/>
  <c r="K14" i="23"/>
  <c r="K17" i="10"/>
  <c r="U15" i="23"/>
  <c r="U18" i="10"/>
  <c r="AD13" i="25"/>
  <c r="AD23" i="10"/>
  <c r="AF34" i="10"/>
  <c r="AF12" i="31"/>
  <c r="J40" i="10"/>
  <c r="J18" i="31"/>
  <c r="W38" i="10"/>
  <c r="W16" i="31"/>
  <c r="AA17" i="10"/>
  <c r="AA14" i="23"/>
  <c r="AE16" i="10"/>
  <c r="AE13" i="23"/>
  <c r="R16" i="31"/>
  <c r="R38" i="10"/>
  <c r="Y12" i="25"/>
  <c r="Y22" i="10"/>
  <c r="Y21" i="8"/>
  <c r="K13" i="31"/>
  <c r="K35" i="10"/>
  <c r="N24" i="10"/>
  <c r="N14" i="25"/>
  <c r="J42" i="8"/>
  <c r="J11" i="33"/>
  <c r="J43" i="10"/>
  <c r="AI35" i="10"/>
  <c r="D35" i="10"/>
  <c r="AH35" i="10"/>
  <c r="D13" i="31"/>
  <c r="W7" i="6"/>
  <c r="W6" i="6"/>
  <c r="W8" i="41" s="1"/>
  <c r="AD14" i="33"/>
  <c r="V13" i="21"/>
  <c r="V11" i="10"/>
  <c r="Q13" i="21"/>
  <c r="Q11" i="10"/>
  <c r="O16" i="10"/>
  <c r="O13" i="23"/>
  <c r="M15" i="23"/>
  <c r="M18" i="10"/>
  <c r="U29" i="10"/>
  <c r="U13" i="27"/>
  <c r="M45" i="10"/>
  <c r="M13" i="33"/>
  <c r="AJ12" i="33"/>
  <c r="AJ44" i="10"/>
  <c r="AF17" i="10"/>
  <c r="AF14" i="23"/>
  <c r="I14" i="25"/>
  <c r="I24" i="10"/>
  <c r="X14" i="23"/>
  <c r="X17" i="10"/>
  <c r="K15" i="31"/>
  <c r="K37" i="10"/>
  <c r="K30" i="10"/>
  <c r="K14" i="27"/>
  <c r="AD7" i="3"/>
  <c r="AD6" i="3"/>
  <c r="AD7" i="41" s="1"/>
  <c r="AC14" i="25"/>
  <c r="AC24" i="10"/>
  <c r="W37" i="10"/>
  <c r="W15" i="31"/>
  <c r="V18" i="31"/>
  <c r="V40" i="10"/>
  <c r="T39" i="10"/>
  <c r="T17" i="31"/>
  <c r="AJ14" i="27"/>
  <c r="AJ30" i="10"/>
  <c r="AE26" i="8"/>
  <c r="AE27" i="10"/>
  <c r="AE11" i="27"/>
  <c r="T29" i="10"/>
  <c r="T13" i="27"/>
  <c r="P17" i="31"/>
  <c r="P39" i="10"/>
  <c r="T18" i="10"/>
  <c r="T15" i="23"/>
  <c r="U15" i="31"/>
  <c r="U37" i="10"/>
  <c r="L14" i="23"/>
  <c r="L17" i="10"/>
  <c r="U28" i="10"/>
  <c r="U12" i="27"/>
  <c r="V12" i="31"/>
  <c r="V34" i="10"/>
  <c r="G14" i="33"/>
  <c r="AD36" i="10"/>
  <c r="AD14" i="31"/>
  <c r="W34" i="10"/>
  <c r="W12" i="31"/>
  <c r="Q12" i="33"/>
  <c r="Q44" i="10"/>
  <c r="N28" i="10"/>
  <c r="N12" i="27"/>
  <c r="X44" i="10"/>
  <c r="X12" i="33"/>
  <c r="X12" i="10"/>
  <c r="X14" i="21"/>
  <c r="P13" i="27"/>
  <c r="P29" i="10"/>
  <c r="X10" i="10"/>
  <c r="X9" i="8"/>
  <c r="X12" i="21"/>
  <c r="P16" i="10"/>
  <c r="P13" i="23"/>
  <c r="O34" i="10"/>
  <c r="O12" i="31"/>
  <c r="I11" i="27"/>
  <c r="I27" i="10"/>
  <c r="I26" i="8"/>
  <c r="O17" i="31"/>
  <c r="O39" i="10"/>
  <c r="L14" i="25"/>
  <c r="L24" i="10"/>
  <c r="X34" i="10"/>
  <c r="X12" i="31"/>
  <c r="V13" i="31"/>
  <c r="V35" i="10"/>
  <c r="G34" i="10"/>
  <c r="G12" i="31"/>
  <c r="AJ24" i="10"/>
  <c r="AJ14" i="25"/>
  <c r="N34" i="10"/>
  <c r="N12" i="31"/>
  <c r="E15" i="10"/>
  <c r="E12" i="23"/>
  <c r="H15" i="23"/>
  <c r="H18" i="10"/>
  <c r="I14" i="23"/>
  <c r="I17" i="10"/>
  <c r="X30" i="10"/>
  <c r="X14" i="27"/>
  <c r="Z37" i="10"/>
  <c r="Z15" i="31"/>
  <c r="G13" i="23"/>
  <c r="G16" i="10"/>
  <c r="Q16" i="31"/>
  <c r="Q38" i="10"/>
  <c r="G11" i="31"/>
  <c r="G33" i="10"/>
  <c r="G32" i="8"/>
  <c r="O38" i="10"/>
  <c r="O16" i="31"/>
  <c r="T11" i="33"/>
  <c r="T42" i="8"/>
  <c r="T43" i="10"/>
  <c r="V32" i="8"/>
  <c r="V33" i="10"/>
  <c r="V11" i="31"/>
  <c r="T44" i="10"/>
  <c r="T12" i="33"/>
  <c r="Z28" i="10"/>
  <c r="Z12" i="27"/>
  <c r="L13" i="23"/>
  <c r="L16" i="10"/>
  <c r="AC23" i="10"/>
  <c r="AC13" i="25"/>
  <c r="AI39" i="10"/>
  <c r="D39" i="10"/>
  <c r="AH39" i="10"/>
  <c r="D17" i="31"/>
  <c r="Z12" i="25"/>
  <c r="Z21" i="8"/>
  <c r="Z22" i="10"/>
  <c r="AG30" i="10"/>
  <c r="AG14" i="27"/>
  <c r="W13" i="23"/>
  <c r="W16" i="10"/>
  <c r="F11" i="10"/>
  <c r="F13" i="21"/>
  <c r="N12" i="33"/>
  <c r="N44" i="10"/>
  <c r="AB24" i="10"/>
  <c r="AB14" i="25"/>
  <c r="I35" i="10"/>
  <c r="I13" i="31"/>
  <c r="Y13" i="33"/>
  <c r="Y45" i="10"/>
  <c r="AG12" i="10"/>
  <c r="AG14" i="21"/>
  <c r="AE24" i="10"/>
  <c r="AE14" i="25"/>
  <c r="AE14" i="23"/>
  <c r="AE17" i="10"/>
  <c r="I34" i="10"/>
  <c r="I12" i="31"/>
  <c r="AB35" i="10"/>
  <c r="AB13" i="31"/>
  <c r="L14" i="33"/>
  <c r="AG6" i="6"/>
  <c r="AG8" i="41" s="1"/>
  <c r="AG7" i="6"/>
  <c r="AB22" i="10"/>
  <c r="AB12" i="25"/>
  <c r="AB21" i="8"/>
  <c r="N13" i="25"/>
  <c r="N23" i="10"/>
  <c r="L7" i="3"/>
  <c r="L6" i="3"/>
  <c r="L7" i="41" s="1"/>
  <c r="W12" i="23"/>
  <c r="W15" i="10"/>
  <c r="Y18" i="31"/>
  <c r="Y40" i="10"/>
  <c r="I15" i="23"/>
  <c r="I18" i="10"/>
  <c r="L38" i="10"/>
  <c r="L16" i="31"/>
  <c r="AF29" i="10"/>
  <c r="AF13" i="27"/>
  <c r="K33" i="10"/>
  <c r="K32" i="8"/>
  <c r="K11" i="31"/>
  <c r="E11" i="10"/>
  <c r="E13" i="21"/>
  <c r="J13" i="25"/>
  <c r="J23" i="10"/>
  <c r="W12" i="33"/>
  <c r="W44" i="10"/>
  <c r="AE37" i="10"/>
  <c r="AE15" i="31"/>
  <c r="H29" i="10"/>
  <c r="H13" i="27"/>
  <c r="T13" i="21"/>
  <c r="T11" i="10"/>
  <c r="H6" i="3"/>
  <c r="H7" i="41" s="1"/>
  <c r="H7" i="3"/>
  <c r="D18" i="10"/>
  <c r="AH18" i="10"/>
  <c r="AI18" i="10"/>
  <c r="D15" i="23"/>
  <c r="V13" i="33"/>
  <c r="V45" i="10"/>
  <c r="U13" i="33"/>
  <c r="U45" i="10"/>
  <c r="T26" i="8"/>
  <c r="T27" i="10"/>
  <c r="T11" i="27"/>
  <c r="F7" i="6"/>
  <c r="F6" i="6"/>
  <c r="F8" i="41" s="1"/>
  <c r="J17" i="31"/>
  <c r="J39" i="10"/>
  <c r="R14" i="33"/>
  <c r="AB15" i="31"/>
  <c r="AB37" i="10"/>
  <c r="Y14" i="21"/>
  <c r="Y12" i="10"/>
  <c r="AF18" i="31"/>
  <c r="AF40" i="10"/>
  <c r="N35" i="10"/>
  <c r="N13" i="31"/>
  <c r="S23" i="10"/>
  <c r="S13" i="25"/>
  <c r="V15" i="23"/>
  <c r="V18" i="10"/>
  <c r="L7" i="6"/>
  <c r="L6" i="6"/>
  <c r="L8" i="41" s="1"/>
  <c r="I11" i="31"/>
  <c r="I32" i="8"/>
  <c r="I33" i="10"/>
  <c r="H40" i="10"/>
  <c r="H18" i="31"/>
  <c r="R22" i="10"/>
  <c r="R12" i="25"/>
  <c r="R21" i="8"/>
  <c r="N42" i="8"/>
  <c r="N11" i="33"/>
  <c r="N43" i="10"/>
  <c r="X17" i="31"/>
  <c r="X39" i="10"/>
  <c r="F14" i="33"/>
  <c r="AA9" i="8"/>
  <c r="AA12" i="21"/>
  <c r="AA10" i="10"/>
  <c r="AC7" i="6"/>
  <c r="AC6" i="6"/>
  <c r="AC8" i="41" s="1"/>
  <c r="AC34" i="10"/>
  <c r="AC12" i="31"/>
  <c r="R23" i="10"/>
  <c r="R13" i="25"/>
  <c r="M6" i="3"/>
  <c r="M7" i="41" s="1"/>
  <c r="M7" i="3"/>
  <c r="V36" i="10"/>
  <c r="V14" i="31"/>
  <c r="AE13" i="27"/>
  <c r="AE29" i="10"/>
  <c r="O18" i="10"/>
  <c r="O15" i="23"/>
  <c r="AA13" i="25"/>
  <c r="AA23" i="10"/>
  <c r="W18" i="10"/>
  <c r="W15" i="23"/>
  <c r="I29" i="10"/>
  <c r="I13" i="27"/>
  <c r="L11" i="10"/>
  <c r="L13" i="21"/>
  <c r="AD14" i="27"/>
  <c r="AD30" i="10"/>
  <c r="H33" i="10"/>
  <c r="H32" i="8"/>
  <c r="H11" i="31"/>
  <c r="O12" i="23"/>
  <c r="O15" i="10"/>
  <c r="Z18" i="31"/>
  <c r="Z40" i="10"/>
  <c r="F33" i="10"/>
  <c r="F11" i="31"/>
  <c r="F32" i="8"/>
  <c r="F36" i="10"/>
  <c r="F14" i="31"/>
  <c r="AB12" i="27"/>
  <c r="AB28" i="10"/>
  <c r="N14" i="27"/>
  <c r="N30" i="10"/>
  <c r="G14" i="27"/>
  <c r="G30" i="10"/>
  <c r="M14" i="33"/>
  <c r="AD13" i="31"/>
  <c r="AD35" i="10"/>
  <c r="E14" i="33"/>
  <c r="AF13" i="23"/>
  <c r="AF16" i="10"/>
  <c r="O14" i="27"/>
  <c r="O30" i="10"/>
  <c r="Y29" i="10"/>
  <c r="Y13" i="27"/>
  <c r="N13" i="27"/>
  <c r="N29" i="10"/>
  <c r="AE11" i="10"/>
  <c r="AE13" i="21"/>
  <c r="S14" i="23"/>
  <c r="S17" i="10"/>
  <c r="J12" i="31"/>
  <c r="J34" i="10"/>
  <c r="P12" i="25"/>
  <c r="P22" i="10"/>
  <c r="P21" i="8"/>
  <c r="N13" i="23"/>
  <c r="N16" i="10"/>
  <c r="AI36" i="10"/>
  <c r="D14" i="31"/>
  <c r="D36" i="10"/>
  <c r="AH36" i="10"/>
  <c r="AE44" i="10"/>
  <c r="AE12" i="33"/>
  <c r="U16" i="10"/>
  <c r="U13" i="23"/>
  <c r="R12" i="27"/>
  <c r="R28" i="10"/>
  <c r="H12" i="21"/>
  <c r="H10" i="10"/>
  <c r="H9" i="8"/>
  <c r="H13" i="21"/>
  <c r="H11" i="10"/>
  <c r="Z13" i="33"/>
  <c r="Z45" i="10"/>
  <c r="H44" i="10"/>
  <c r="H12" i="33"/>
  <c r="F13" i="23"/>
  <c r="F16" i="10"/>
  <c r="X14" i="33"/>
  <c r="S12" i="10"/>
  <c r="S14" i="21"/>
  <c r="AA24" i="10"/>
  <c r="AA14" i="25"/>
  <c r="U17" i="10"/>
  <c r="U14" i="23"/>
  <c r="AJ29" i="10"/>
  <c r="AJ13" i="27"/>
  <c r="W13" i="25"/>
  <c r="W23" i="10"/>
  <c r="L12" i="10"/>
  <c r="L14" i="21"/>
  <c r="AF14" i="21"/>
  <c r="AF12" i="10"/>
  <c r="AD11" i="27"/>
  <c r="AD26" i="8"/>
  <c r="AD27" i="10"/>
  <c r="M28" i="10"/>
  <c r="M12" i="27"/>
  <c r="R15" i="31"/>
  <c r="R37" i="10"/>
  <c r="Y43" i="10"/>
  <c r="Y42" i="8"/>
  <c r="Y11" i="33"/>
  <c r="Y16" i="10"/>
  <c r="Y13" i="23"/>
  <c r="X15" i="31"/>
  <c r="X37" i="10"/>
  <c r="K29" i="10"/>
  <c r="K13" i="27"/>
  <c r="AD38" i="10"/>
  <c r="AD16" i="31"/>
  <c r="T36" i="10"/>
  <c r="T14" i="31"/>
  <c r="AE10" i="10"/>
  <c r="AE12" i="21"/>
  <c r="AE9" i="8"/>
  <c r="G13" i="27"/>
  <c r="G29" i="10"/>
  <c r="X18" i="31"/>
  <c r="X40" i="10"/>
  <c r="AG54" i="10"/>
  <c r="AG48" i="8"/>
  <c r="U7" i="6"/>
  <c r="U6" i="6"/>
  <c r="U8" i="41" s="1"/>
  <c r="U35" i="10"/>
  <c r="U13" i="31"/>
  <c r="Z14" i="25"/>
  <c r="Z24" i="10"/>
  <c r="AB27" i="10"/>
  <c r="AB26" i="8"/>
  <c r="AB11" i="27"/>
  <c r="E14" i="23"/>
  <c r="E17" i="10"/>
  <c r="V15" i="10"/>
  <c r="V12" i="23"/>
  <c r="Q54" i="10"/>
  <c r="Q48" i="8"/>
  <c r="S6" i="6"/>
  <c r="S8" i="41" s="1"/>
  <c r="S7" i="6"/>
  <c r="Z13" i="31"/>
  <c r="Z35" i="10"/>
  <c r="AD42" i="8"/>
  <c r="AD11" i="33"/>
  <c r="AD43" i="10"/>
  <c r="AC12" i="10"/>
  <c r="AC14" i="21"/>
  <c r="G15" i="23"/>
  <c r="G18" i="10"/>
  <c r="V23" i="10"/>
  <c r="V13" i="25"/>
  <c r="W22" i="10"/>
  <c r="W21" i="8"/>
  <c r="W12" i="25"/>
  <c r="Q17" i="31"/>
  <c r="Q39" i="10"/>
  <c r="X22" i="10"/>
  <c r="X12" i="25"/>
  <c r="X21" i="8"/>
  <c r="AF11" i="27"/>
  <c r="AF27" i="10"/>
  <c r="AF26" i="8"/>
  <c r="J13" i="33"/>
  <c r="J45" i="10"/>
  <c r="AE28" i="10"/>
  <c r="AE12" i="27"/>
  <c r="AG17" i="10"/>
  <c r="AG14" i="23"/>
  <c r="P42" i="8"/>
  <c r="P11" i="33"/>
  <c r="P43" i="10"/>
  <c r="P44" i="10"/>
  <c r="P12" i="33"/>
  <c r="V43" i="10"/>
  <c r="V42" i="8"/>
  <c r="V11" i="33"/>
  <c r="H30" i="10"/>
  <c r="H14" i="27"/>
  <c r="M30" i="10"/>
  <c r="M14" i="27"/>
  <c r="AD48" i="8"/>
  <c r="AD54" i="10"/>
  <c r="L13" i="33"/>
  <c r="L45" i="10"/>
  <c r="K15" i="23"/>
  <c r="K18" i="10"/>
  <c r="O11" i="10"/>
  <c r="O13" i="21"/>
  <c r="Z14" i="23"/>
  <c r="Z17" i="10"/>
  <c r="L18" i="31"/>
  <c r="L40" i="10"/>
  <c r="AE15" i="10"/>
  <c r="AE12" i="23"/>
  <c r="W48" i="8"/>
  <c r="W54" i="10"/>
  <c r="G12" i="27"/>
  <c r="G28" i="10"/>
  <c r="D11" i="31"/>
  <c r="D33" i="10"/>
  <c r="AH33" i="10"/>
  <c r="AI33" i="10"/>
  <c r="D32" i="8"/>
  <c r="J12" i="33"/>
  <c r="J44" i="10"/>
  <c r="R13" i="21"/>
  <c r="R11" i="10"/>
  <c r="K14" i="21"/>
  <c r="K12" i="10"/>
  <c r="K12" i="31"/>
  <c r="K34" i="10"/>
  <c r="AA29" i="10"/>
  <c r="AA13" i="27"/>
  <c r="AD17" i="10"/>
  <c r="AD14" i="23"/>
  <c r="I45" i="10"/>
  <c r="I13" i="33"/>
  <c r="AJ23" i="10"/>
  <c r="AJ13" i="25"/>
  <c r="N38" i="10"/>
  <c r="N16" i="31"/>
  <c r="D45" i="10"/>
  <c r="AH45" i="10"/>
  <c r="AI45" i="10"/>
  <c r="D13" i="33"/>
  <c r="Y34" i="10"/>
  <c r="Y12" i="31"/>
  <c r="I12" i="21"/>
  <c r="I10" i="10"/>
  <c r="I9" i="8"/>
  <c r="AC11" i="27"/>
  <c r="AC27" i="10"/>
  <c r="AC26" i="8"/>
  <c r="I15" i="31"/>
  <c r="I37" i="10"/>
  <c r="AE11" i="33"/>
  <c r="AE42" i="8"/>
  <c r="AE43" i="10"/>
  <c r="I7" i="3"/>
  <c r="I6" i="3"/>
  <c r="I7" i="41" s="1"/>
  <c r="U17" i="31"/>
  <c r="U39" i="10"/>
  <c r="AF14" i="31"/>
  <c r="AF36" i="10"/>
  <c r="O42" i="8"/>
  <c r="O43" i="10"/>
  <c r="O11" i="33"/>
  <c r="R34" i="10"/>
  <c r="R12" i="31"/>
  <c r="X35" i="10"/>
  <c r="X13" i="31"/>
  <c r="E12" i="31"/>
  <c r="E34" i="10"/>
  <c r="Q14" i="23"/>
  <c r="Q17" i="10"/>
  <c r="AG17" i="31"/>
  <c r="AG39" i="10"/>
  <c r="P6" i="6"/>
  <c r="P8" i="41" s="1"/>
  <c r="P7" i="6"/>
  <c r="I15" i="10"/>
  <c r="I12" i="23"/>
  <c r="AA7" i="3"/>
  <c r="AA6" i="3"/>
  <c r="AA7" i="41" s="1"/>
  <c r="AJ14" i="21"/>
  <c r="AJ12" i="10"/>
  <c r="L42" i="8"/>
  <c r="L11" i="33"/>
  <c r="L43" i="10"/>
  <c r="AC13" i="21"/>
  <c r="AC11" i="10"/>
  <c r="AD34" i="10"/>
  <c r="AD12" i="31"/>
  <c r="I13" i="21"/>
  <c r="I11" i="10"/>
  <c r="Z36" i="10"/>
  <c r="Z14" i="31"/>
  <c r="Q35" i="10"/>
  <c r="Q13" i="31"/>
  <c r="U42" i="8"/>
  <c r="U11" i="33"/>
  <c r="U43" i="10"/>
  <c r="AF6" i="3"/>
  <c r="AF7" i="41" s="1"/>
  <c r="AF7" i="3"/>
  <c r="W27" i="10"/>
  <c r="W26" i="8"/>
  <c r="W11" i="27"/>
  <c r="AG12" i="23"/>
  <c r="AG15" i="10"/>
  <c r="AF24" i="10"/>
  <c r="AF14" i="25"/>
  <c r="S13" i="31"/>
  <c r="S35" i="10"/>
  <c r="F11" i="27"/>
  <c r="F26" i="8"/>
  <c r="F27" i="10"/>
  <c r="X29" i="10"/>
  <c r="X13" i="27"/>
  <c r="AG7" i="3"/>
  <c r="AG6" i="3"/>
  <c r="AG7" i="41" s="1"/>
  <c r="T14" i="21"/>
  <c r="T12" i="10"/>
  <c r="AG13" i="33"/>
  <c r="AG45" i="10"/>
  <c r="Z6" i="6"/>
  <c r="Z8" i="41" s="1"/>
  <c r="Z7" i="6"/>
  <c r="N40" i="10"/>
  <c r="N18" i="31"/>
  <c r="P14" i="21"/>
  <c r="P12" i="10"/>
  <c r="O45" i="10"/>
  <c r="O13" i="33"/>
  <c r="Y33" i="10"/>
  <c r="Y11" i="31"/>
  <c r="Y32" i="8"/>
  <c r="Z15" i="23"/>
  <c r="Z18" i="10"/>
  <c r="T18" i="31"/>
  <c r="T40" i="10"/>
  <c r="L34" i="10"/>
  <c r="L12" i="31"/>
  <c r="AD29" i="10"/>
  <c r="AD13" i="27"/>
  <c r="U21" i="8"/>
  <c r="U22" i="10"/>
  <c r="U12" i="25"/>
  <c r="S12" i="23"/>
  <c r="S15" i="10"/>
  <c r="M26" i="8"/>
  <c r="M11" i="27"/>
  <c r="M27" i="10"/>
  <c r="AJ35" i="10"/>
  <c r="AJ13" i="31"/>
  <c r="F16" i="31"/>
  <c r="F38" i="10"/>
  <c r="S11" i="10"/>
  <c r="S13" i="21"/>
  <c r="AG14" i="25"/>
  <c r="AG24" i="10"/>
  <c r="Z29" i="10"/>
  <c r="Z13" i="27"/>
  <c r="R7" i="3"/>
  <c r="R6" i="3"/>
  <c r="R7" i="41" s="1"/>
  <c r="U11" i="10"/>
  <c r="U13" i="21"/>
  <c r="F14" i="21"/>
  <c r="F12" i="10"/>
  <c r="X16" i="10"/>
  <c r="X13" i="23"/>
  <c r="T11" i="31"/>
  <c r="T32" i="8"/>
  <c r="T33" i="10"/>
  <c r="J13" i="31"/>
  <c r="J35" i="10"/>
  <c r="AB33" i="10"/>
  <c r="AB11" i="31"/>
  <c r="AB32" i="8"/>
  <c r="AC12" i="23"/>
  <c r="AC15" i="10"/>
  <c r="Q24" i="10"/>
  <c r="Q14" i="25"/>
  <c r="S39" i="10"/>
  <c r="S17" i="31"/>
  <c r="U18" i="31"/>
  <c r="U40" i="10"/>
  <c r="W36" i="10"/>
  <c r="W14" i="31"/>
  <c r="Y18" i="10"/>
  <c r="Y15" i="23"/>
  <c r="G12" i="10"/>
  <c r="G14" i="21"/>
  <c r="E23" i="10"/>
  <c r="E13" i="25"/>
  <c r="I36" i="10"/>
  <c r="I14" i="31"/>
  <c r="J32" i="8"/>
  <c r="J11" i="31"/>
  <c r="J33" i="10"/>
  <c r="AD45" i="10"/>
  <c r="AD13" i="33"/>
  <c r="F54" i="10"/>
  <c r="F48" i="8"/>
  <c r="S13" i="23"/>
  <c r="S16" i="10"/>
  <c r="AF37" i="10"/>
  <c r="AF15" i="31"/>
  <c r="S11" i="27"/>
  <c r="S27" i="10"/>
  <c r="S26" i="8"/>
  <c r="AG23" i="10"/>
  <c r="AG13" i="25"/>
  <c r="Y39" i="10"/>
  <c r="Y17" i="31"/>
  <c r="M13" i="23"/>
  <c r="M16" i="10"/>
  <c r="V7" i="3"/>
  <c r="V6" i="3"/>
  <c r="V7" i="41" s="1"/>
  <c r="O9" i="8"/>
  <c r="O10" i="10"/>
  <c r="O12" i="21"/>
  <c r="AE12" i="31"/>
  <c r="AE34" i="10"/>
  <c r="I16" i="10"/>
  <c r="I13" i="23"/>
  <c r="U30" i="10"/>
  <c r="U14" i="27"/>
  <c r="D12" i="27"/>
  <c r="D28" i="10"/>
  <c r="AI28" i="10"/>
  <c r="AH28" i="10"/>
  <c r="E14" i="31"/>
  <c r="E36" i="10"/>
  <c r="P15" i="31"/>
  <c r="P37" i="10"/>
  <c r="K48" i="8"/>
  <c r="K54" i="10"/>
  <c r="AJ18" i="10"/>
  <c r="AJ15" i="23"/>
  <c r="Z14" i="33"/>
  <c r="Z6" i="3"/>
  <c r="Z7" i="41" s="1"/>
  <c r="Z7" i="3"/>
  <c r="M29" i="10"/>
  <c r="M13" i="27"/>
  <c r="J14" i="25"/>
  <c r="J24" i="10"/>
  <c r="AG15" i="23"/>
  <c r="AG18" i="10"/>
  <c r="R15" i="23"/>
  <c r="R18" i="10"/>
  <c r="L12" i="27"/>
  <c r="L28" i="10"/>
  <c r="O29" i="10"/>
  <c r="O13" i="27"/>
  <c r="T14" i="25"/>
  <c r="T24" i="10"/>
  <c r="H13" i="25"/>
  <c r="H23" i="10"/>
  <c r="I12" i="10"/>
  <c r="I14" i="21"/>
  <c r="P13" i="21"/>
  <c r="P11" i="10"/>
  <c r="L15" i="31"/>
  <c r="L37" i="10"/>
  <c r="AJ48" i="8"/>
  <c r="AJ54" i="10"/>
  <c r="AJ40" i="10"/>
  <c r="AJ18" i="31"/>
  <c r="P36" i="10"/>
  <c r="P14" i="31"/>
  <c r="H12" i="10"/>
  <c r="H14" i="21"/>
  <c r="AE12" i="10"/>
  <c r="AE14" i="21"/>
  <c r="Y14" i="33"/>
  <c r="E14" i="27"/>
  <c r="E30" i="10"/>
  <c r="S9" i="8"/>
  <c r="S10" i="10"/>
  <c r="S12" i="21"/>
  <c r="R13" i="31"/>
  <c r="R35" i="10"/>
  <c r="T38" i="10"/>
  <c r="T16" i="31"/>
  <c r="Q6" i="6"/>
  <c r="Q8" i="41" s="1"/>
  <c r="Q7" i="6"/>
  <c r="AG13" i="27"/>
  <c r="AG29" i="10"/>
  <c r="F11" i="33"/>
  <c r="F42" i="8"/>
  <c r="F43" i="10"/>
  <c r="AC15" i="31"/>
  <c r="AC37" i="10"/>
  <c r="D34" i="10"/>
  <c r="AH34" i="10"/>
  <c r="AI34" i="10"/>
  <c r="D12" i="31"/>
  <c r="AA14" i="21"/>
  <c r="AA12" i="10"/>
  <c r="P12" i="27"/>
  <c r="P28" i="10"/>
  <c r="X11" i="10"/>
  <c r="X13" i="21"/>
  <c r="AA11" i="10"/>
  <c r="AA13" i="21"/>
  <c r="V24" i="10"/>
  <c r="V14" i="25"/>
  <c r="W13" i="27"/>
  <c r="W29" i="10"/>
  <c r="Q15" i="10"/>
  <c r="Q12" i="23"/>
  <c r="AF9" i="8"/>
  <c r="AF10" i="10"/>
  <c r="AF12" i="21"/>
  <c r="Z54" i="10"/>
  <c r="Z48" i="8"/>
  <c r="Q40" i="10"/>
  <c r="Q18" i="31"/>
  <c r="AJ14" i="33"/>
  <c r="O13" i="31"/>
  <c r="O35" i="10"/>
  <c r="AC14" i="33"/>
  <c r="AC28" i="10"/>
  <c r="AC12" i="27"/>
  <c r="S6" i="3"/>
  <c r="S7" i="41" s="1"/>
  <c r="S7" i="3"/>
  <c r="AF7" i="6"/>
  <c r="AF6" i="6"/>
  <c r="AF8" i="41" s="1"/>
  <c r="M16" i="31"/>
  <c r="M38" i="10"/>
  <c r="G12" i="23"/>
  <c r="G15" i="10"/>
  <c r="AG10" i="10"/>
  <c r="AG12" i="21"/>
  <c r="AG9" i="8"/>
  <c r="AB16" i="10"/>
  <c r="AB13" i="23"/>
  <c r="AF22" i="10"/>
  <c r="AF21" i="8"/>
  <c r="AF12" i="25"/>
  <c r="M40" i="10"/>
  <c r="M18" i="31"/>
  <c r="AJ28" i="10"/>
  <c r="AJ12" i="27"/>
  <c r="Q12" i="31"/>
  <c r="Q34" i="10"/>
  <c r="AA11" i="31"/>
  <c r="AA33" i="10"/>
  <c r="AA32" i="8"/>
  <c r="J28" i="10"/>
  <c r="J12" i="27"/>
  <c r="V29" i="10"/>
  <c r="V13" i="27"/>
  <c r="W42" i="8"/>
  <c r="W11" i="33"/>
  <c r="W43" i="10"/>
  <c r="D11" i="27"/>
  <c r="AH27" i="10"/>
  <c r="D26" i="8"/>
  <c r="D27" i="10"/>
  <c r="AI27" i="10"/>
  <c r="Q16" i="10"/>
  <c r="Q13" i="23"/>
  <c r="AC10" i="10"/>
  <c r="AC9" i="8"/>
  <c r="AC12" i="21"/>
  <c r="G48" i="8"/>
  <c r="G54" i="10"/>
  <c r="J14" i="33"/>
  <c r="AC17" i="10"/>
  <c r="AC14" i="23"/>
  <c r="E16" i="10"/>
  <c r="E13" i="23"/>
  <c r="U48" i="8"/>
  <c r="U54" i="10"/>
  <c r="K28" i="10"/>
  <c r="K12" i="27"/>
  <c r="I30" i="10"/>
  <c r="I14" i="27"/>
  <c r="AE21" i="8"/>
  <c r="AE12" i="25"/>
  <c r="AE22" i="10"/>
  <c r="Y12" i="27"/>
  <c r="Y28" i="10"/>
  <c r="F40" i="10"/>
  <c r="F18" i="31"/>
  <c r="I18" i="31"/>
  <c r="I40" i="10"/>
  <c r="R9" i="8"/>
  <c r="R12" i="21"/>
  <c r="R10" i="10"/>
  <c r="AA7" i="6"/>
  <c r="AA6" i="6"/>
  <c r="AA8" i="41" s="1"/>
  <c r="AB9" i="8"/>
  <c r="AB10" i="10"/>
  <c r="AB12" i="21"/>
  <c r="Y17" i="10"/>
  <c r="Y14" i="23"/>
  <c r="AA27" i="10"/>
  <c r="AA11" i="27"/>
  <c r="AA26" i="8"/>
  <c r="AC15" i="23"/>
  <c r="AC18" i="10"/>
  <c r="T14" i="33"/>
  <c r="F12" i="27"/>
  <c r="F28" i="10"/>
  <c r="M24" i="10"/>
  <c r="M14" i="25"/>
  <c r="O12" i="10"/>
  <c r="O14" i="21"/>
  <c r="N11" i="31"/>
  <c r="N32" i="8"/>
  <c r="N33" i="10"/>
  <c r="D12" i="25"/>
  <c r="D22" i="10"/>
  <c r="D21" i="8"/>
  <c r="AH22" i="10"/>
  <c r="AI22" i="10"/>
  <c r="V14" i="23"/>
  <c r="V17" i="10"/>
  <c r="AF11" i="10"/>
  <c r="AF13" i="21"/>
  <c r="L11" i="31"/>
  <c r="L32" i="8"/>
  <c r="L33" i="10"/>
  <c r="V39" i="10"/>
  <c r="V17" i="31"/>
  <c r="E13" i="27"/>
  <c r="E29" i="10"/>
  <c r="V12" i="10"/>
  <c r="V14" i="21"/>
  <c r="H34" i="10"/>
  <c r="H12" i="31"/>
  <c r="M13" i="21"/>
  <c r="M11" i="10"/>
  <c r="M11" i="31"/>
  <c r="M33" i="10"/>
  <c r="M32" i="8"/>
  <c r="G17" i="10"/>
  <c r="G14" i="23"/>
  <c r="AB17" i="31"/>
  <c r="AB39" i="10"/>
  <c r="G13" i="25"/>
  <c r="G23" i="10"/>
  <c r="W17" i="10"/>
  <c r="W14" i="23"/>
  <c r="W12" i="10"/>
  <c r="W14" i="21"/>
  <c r="U14" i="33"/>
  <c r="S18" i="10"/>
  <c r="S15" i="23"/>
  <c r="T6" i="6"/>
  <c r="T8" i="41" s="1"/>
  <c r="T7" i="6"/>
  <c r="V10" i="10"/>
  <c r="V12" i="21"/>
  <c r="V9" i="8"/>
  <c r="AG14" i="33"/>
  <c r="O7" i="3"/>
  <c r="O6" i="3"/>
  <c r="O7" i="41" s="1"/>
  <c r="I7" i="6"/>
  <c r="I6" i="6"/>
  <c r="I8" i="41" s="1"/>
  <c r="K16" i="31"/>
  <c r="K38" i="10"/>
  <c r="I17" i="31"/>
  <c r="I39" i="10"/>
  <c r="AJ32" i="8"/>
  <c r="AJ33" i="10"/>
  <c r="AJ11" i="31"/>
  <c r="AC30" i="10"/>
  <c r="AC14" i="27"/>
  <c r="AB18" i="31"/>
  <c r="AB40" i="10"/>
  <c r="S33" i="10"/>
  <c r="S32" i="8"/>
  <c r="S11" i="31"/>
  <c r="AJ39" i="10"/>
  <c r="AJ17" i="31"/>
  <c r="P33" i="10"/>
  <c r="P32" i="8"/>
  <c r="P11" i="31"/>
  <c r="AB6" i="6"/>
  <c r="AB8" i="41" s="1"/>
  <c r="AB7" i="6"/>
  <c r="N6" i="3"/>
  <c r="N7" i="41" s="1"/>
  <c r="N7" i="3"/>
  <c r="Z17" i="31"/>
  <c r="Z39" i="10"/>
  <c r="T15" i="31"/>
  <c r="T37" i="10"/>
  <c r="AH29" i="10"/>
  <c r="D13" i="27"/>
  <c r="AI29" i="10"/>
  <c r="D29" i="10"/>
  <c r="AG33" i="10"/>
  <c r="AG11" i="31"/>
  <c r="AG32" i="8"/>
  <c r="AB14" i="33"/>
  <c r="R14" i="21"/>
  <c r="R12" i="10"/>
  <c r="AG14" i="31"/>
  <c r="AG36" i="10"/>
  <c r="P14" i="33"/>
  <c r="P24" i="10"/>
  <c r="P14" i="25"/>
  <c r="R29" i="10"/>
  <c r="R13" i="27"/>
  <c r="S38" i="10"/>
  <c r="S16" i="31"/>
  <c r="D14" i="23"/>
  <c r="AH17" i="10"/>
  <c r="AI17" i="10"/>
  <c r="D17" i="10"/>
  <c r="J6" i="6"/>
  <c r="J8" i="41" s="1"/>
  <c r="J7" i="6"/>
  <c r="AE35" i="10"/>
  <c r="AE13" i="31"/>
  <c r="X24" i="10"/>
  <c r="X14" i="25"/>
  <c r="O14" i="25"/>
  <c r="O24" i="10"/>
  <c r="T6" i="3"/>
  <c r="T7" i="41" s="1"/>
  <c r="T7" i="3"/>
  <c r="Q15" i="23"/>
  <c r="Q18" i="10"/>
  <c r="AE36" i="10"/>
  <c r="AE14" i="31"/>
  <c r="AD15" i="23"/>
  <c r="AD18" i="10"/>
  <c r="R40" i="10"/>
  <c r="R18" i="31"/>
  <c r="D44" i="10"/>
  <c r="AH44" i="10"/>
  <c r="D12" i="33"/>
  <c r="AI44" i="10"/>
  <c r="P9" i="8"/>
  <c r="P12" i="21"/>
  <c r="P10" i="10"/>
  <c r="K11" i="27"/>
  <c r="K26" i="8"/>
  <c r="K27" i="10"/>
  <c r="Z13" i="23"/>
  <c r="Z16" i="10"/>
  <c r="AH24" i="10"/>
  <c r="D24" i="10"/>
  <c r="AI24" i="10"/>
  <c r="D14" i="25"/>
  <c r="M15" i="10"/>
  <c r="M12" i="23"/>
  <c r="R13" i="23"/>
  <c r="R16" i="10"/>
  <c r="AE13" i="25"/>
  <c r="AE23" i="10"/>
  <c r="O48" i="8"/>
  <c r="O54" i="10"/>
  <c r="Z15" i="10"/>
  <c r="Z12" i="23"/>
  <c r="T23" i="10"/>
  <c r="T13" i="25"/>
  <c r="D48" i="8"/>
  <c r="AI54" i="10"/>
  <c r="AH54" i="10"/>
  <c r="D54" i="10"/>
  <c r="AA38" i="10"/>
  <c r="AA16" i="31"/>
  <c r="K6" i="6"/>
  <c r="K8" i="41" s="1"/>
  <c r="K7" i="6"/>
  <c r="AE45" i="10"/>
  <c r="AE13" i="33"/>
  <c r="AA44" i="10"/>
  <c r="AA12" i="33"/>
  <c r="AN191" i="14" l="1"/>
  <c r="AN179" i="14" s="1"/>
  <c r="AL191" i="14"/>
  <c r="AL179" i="14" s="1"/>
  <c r="AP191" i="14"/>
  <c r="AP179" i="14" s="1"/>
  <c r="AR191" i="14"/>
  <c r="AR179" i="14" s="1"/>
  <c r="AM191" i="14"/>
  <c r="AM179" i="14" s="1"/>
  <c r="AQ191" i="14"/>
  <c r="AQ179" i="14" s="1"/>
  <c r="AO191" i="14"/>
  <c r="AO179" i="14" s="1"/>
  <c r="AK192" i="14"/>
  <c r="AR192" i="14" s="1"/>
  <c r="AR180" i="14" s="1"/>
  <c r="AR156" i="14" s="1"/>
  <c r="AR132" i="14" s="1"/>
  <c r="AR108" i="14" s="1"/>
  <c r="AR84" i="14" s="1"/>
  <c r="AR60" i="14" s="1"/>
  <c r="AK199" i="14"/>
  <c r="AN6" i="41"/>
  <c r="AO6" i="41"/>
  <c r="J16" i="23"/>
  <c r="AL9" i="10"/>
  <c r="AK9" i="10"/>
  <c r="AL19" i="10"/>
  <c r="AK19" i="10"/>
  <c r="AL21" i="10"/>
  <c r="AK21" i="10"/>
  <c r="AL32" i="10"/>
  <c r="AK32" i="10"/>
  <c r="AL48" i="10"/>
  <c r="AK48" i="10"/>
  <c r="AL26" i="10"/>
  <c r="AK26" i="10"/>
  <c r="AK42" i="10"/>
  <c r="AL42" i="10"/>
  <c r="AJ6" i="7"/>
  <c r="AJ9" i="41" s="1"/>
  <c r="AJ7" i="7"/>
  <c r="F11" i="44"/>
  <c r="F12" i="44"/>
  <c r="F13" i="44"/>
  <c r="F15" i="44"/>
  <c r="F14" i="44"/>
  <c r="G6" i="7"/>
  <c r="G9" i="41" s="1"/>
  <c r="AJ23" i="41"/>
  <c r="AJ28" i="41" s="1"/>
  <c r="W19" i="10"/>
  <c r="Y16" i="23"/>
  <c r="W16" i="23"/>
  <c r="P6" i="7"/>
  <c r="P9" i="41" s="1"/>
  <c r="L16" i="23"/>
  <c r="F14" i="8"/>
  <c r="F6" i="8" s="1"/>
  <c r="F42" i="9" s="1"/>
  <c r="AF16" i="23"/>
  <c r="AD6" i="7"/>
  <c r="AD9" i="41" s="1"/>
  <c r="AL181" i="14"/>
  <c r="AL184" i="14"/>
  <c r="AL185" i="14"/>
  <c r="AL183" i="14"/>
  <c r="AL182" i="14"/>
  <c r="AD19" i="10"/>
  <c r="AG6" i="7"/>
  <c r="AG9" i="41" s="1"/>
  <c r="AE7" i="7"/>
  <c r="P16" i="23"/>
  <c r="Y6" i="7"/>
  <c r="Y9" i="41" s="1"/>
  <c r="L19" i="10"/>
  <c r="Y19" i="10"/>
  <c r="AD14" i="8"/>
  <c r="AD14" i="41" s="1"/>
  <c r="D16" i="23"/>
  <c r="Z16" i="23"/>
  <c r="AI19" i="10"/>
  <c r="D19" i="10"/>
  <c r="N14" i="8"/>
  <c r="N13" i="14" s="1"/>
  <c r="Z19" i="10"/>
  <c r="AD16" i="23"/>
  <c r="AJ19" i="10"/>
  <c r="AJ10" i="12"/>
  <c r="AJ13" i="41"/>
  <c r="AJ15" i="12"/>
  <c r="AJ18" i="41"/>
  <c r="AJ13" i="12"/>
  <c r="AJ16" i="41"/>
  <c r="AJ17" i="41"/>
  <c r="AJ12" i="12"/>
  <c r="AJ15" i="41"/>
  <c r="AJ36" i="41"/>
  <c r="V19" i="10"/>
  <c r="D14" i="8"/>
  <c r="AJ14" i="12"/>
  <c r="AJ14" i="8"/>
  <c r="I19" i="10"/>
  <c r="N19" i="10"/>
  <c r="T14" i="8"/>
  <c r="Q19" i="10"/>
  <c r="V14" i="8"/>
  <c r="AF19" i="10"/>
  <c r="AC19" i="10"/>
  <c r="J6" i="7"/>
  <c r="J9" i="41" s="1"/>
  <c r="O7" i="7"/>
  <c r="X19" i="10"/>
  <c r="O19" i="10"/>
  <c r="J19" i="10"/>
  <c r="F7" i="7"/>
  <c r="AJ16" i="23"/>
  <c r="AC14" i="8"/>
  <c r="AC17" i="23" s="1"/>
  <c r="F19" i="10"/>
  <c r="T19" i="10"/>
  <c r="AC7" i="7"/>
  <c r="O16" i="23"/>
  <c r="Q14" i="8"/>
  <c r="Q11" i="12" s="1"/>
  <c r="P19" i="10"/>
  <c r="O14" i="8"/>
  <c r="O6" i="8" s="1"/>
  <c r="O26" i="9" s="1"/>
  <c r="T7" i="7"/>
  <c r="M6" i="7"/>
  <c r="M9" i="41" s="1"/>
  <c r="L7" i="7"/>
  <c r="H7" i="7"/>
  <c r="I16" i="23"/>
  <c r="AE16" i="23"/>
  <c r="E6" i="7"/>
  <c r="E9" i="41" s="1"/>
  <c r="K7" i="7"/>
  <c r="R19" i="10"/>
  <c r="U6" i="7"/>
  <c r="U9" i="41" s="1"/>
  <c r="AF7" i="7"/>
  <c r="Q7" i="7"/>
  <c r="AB19" i="10"/>
  <c r="AB16" i="23"/>
  <c r="R14" i="8"/>
  <c r="R7" i="8" s="1"/>
  <c r="V6" i="7"/>
  <c r="V9" i="41" s="1"/>
  <c r="Z6" i="7"/>
  <c r="Z9" i="41" s="1"/>
  <c r="X6" i="7"/>
  <c r="X9" i="41" s="1"/>
  <c r="AA19" i="10"/>
  <c r="H19" i="10"/>
  <c r="K19" i="10"/>
  <c r="AE19" i="10"/>
  <c r="AA6" i="7"/>
  <c r="AA9" i="41" s="1"/>
  <c r="G16" i="23"/>
  <c r="S7" i="7"/>
  <c r="D7" i="7"/>
  <c r="AB7" i="7"/>
  <c r="AA16" i="23"/>
  <c r="S19" i="10"/>
  <c r="U14" i="8"/>
  <c r="U13" i="14" s="1"/>
  <c r="S16" i="23"/>
  <c r="N7" i="7"/>
  <c r="AG14" i="8"/>
  <c r="AG6" i="8" s="1"/>
  <c r="AG42" i="9" s="1"/>
  <c r="E14" i="8"/>
  <c r="W7" i="7"/>
  <c r="H16" i="23"/>
  <c r="M19" i="10"/>
  <c r="K14" i="8"/>
  <c r="K17" i="23" s="1"/>
  <c r="H14" i="8"/>
  <c r="H11" i="12" s="1"/>
  <c r="G19" i="10"/>
  <c r="AG19" i="10"/>
  <c r="E19" i="10"/>
  <c r="U19" i="10"/>
  <c r="X16" i="23"/>
  <c r="R7" i="7"/>
  <c r="I7" i="7"/>
  <c r="M16" i="23"/>
  <c r="X14" i="8"/>
  <c r="X11" i="12" s="1"/>
  <c r="AG10" i="12"/>
  <c r="AG15" i="21"/>
  <c r="AG13" i="41"/>
  <c r="AG9" i="10"/>
  <c r="AG12" i="14"/>
  <c r="AG23" i="41"/>
  <c r="AA6" i="8"/>
  <c r="AA32" i="9" s="1"/>
  <c r="AA15" i="21"/>
  <c r="AA7" i="8"/>
  <c r="AA12" i="14"/>
  <c r="AA13" i="41"/>
  <c r="AA23" i="41"/>
  <c r="AA9" i="10"/>
  <c r="AA10" i="12"/>
  <c r="F48" i="10"/>
  <c r="P15" i="21"/>
  <c r="P12" i="14"/>
  <c r="P7" i="8"/>
  <c r="P10" i="12"/>
  <c r="P6" i="8"/>
  <c r="P42" i="9" s="1"/>
  <c r="P23" i="41"/>
  <c r="P13" i="41"/>
  <c r="P9" i="10"/>
  <c r="AH48" i="10"/>
  <c r="D48" i="10"/>
  <c r="AI48" i="10"/>
  <c r="AB23" i="41"/>
  <c r="AB13" i="41"/>
  <c r="AB6" i="8"/>
  <c r="AB9" i="9" s="1"/>
  <c r="AB15" i="21"/>
  <c r="AB12" i="14"/>
  <c r="AB10" i="12"/>
  <c r="AB7" i="8"/>
  <c r="AB9" i="10"/>
  <c r="R14" i="14"/>
  <c r="R12" i="12"/>
  <c r="R21" i="10"/>
  <c r="R15" i="41"/>
  <c r="R15" i="25"/>
  <c r="R36" i="41"/>
  <c r="F12" i="14"/>
  <c r="F23" i="41"/>
  <c r="F13" i="41"/>
  <c r="F15" i="21"/>
  <c r="F9" i="10"/>
  <c r="F10" i="12"/>
  <c r="AC12" i="12"/>
  <c r="AC36" i="41"/>
  <c r="AC14" i="14"/>
  <c r="AC21" i="10"/>
  <c r="AC15" i="41"/>
  <c r="AC15" i="25"/>
  <c r="AE48" i="10"/>
  <c r="F16" i="14"/>
  <c r="F32" i="10"/>
  <c r="F14" i="12"/>
  <c r="F19" i="31"/>
  <c r="F17" i="41"/>
  <c r="Y48" i="10"/>
  <c r="AD15" i="25"/>
  <c r="AD12" i="12"/>
  <c r="AD15" i="41"/>
  <c r="AD14" i="14"/>
  <c r="AD36" i="41"/>
  <c r="AD21" i="10"/>
  <c r="J13" i="41"/>
  <c r="J7" i="8"/>
  <c r="J6" i="8"/>
  <c r="J32" i="9" s="1"/>
  <c r="J12" i="14"/>
  <c r="J9" i="10"/>
  <c r="J15" i="21"/>
  <c r="J23" i="41"/>
  <c r="J10" i="12"/>
  <c r="O32" i="10"/>
  <c r="O16" i="14"/>
  <c r="O19" i="31"/>
  <c r="O14" i="12"/>
  <c r="O17" i="41"/>
  <c r="F36" i="41"/>
  <c r="F14" i="14"/>
  <c r="F15" i="25"/>
  <c r="F21" i="10"/>
  <c r="F15" i="41"/>
  <c r="F12" i="12"/>
  <c r="X17" i="41"/>
  <c r="X19" i="31"/>
  <c r="X14" i="12"/>
  <c r="X16" i="14"/>
  <c r="X32" i="10"/>
  <c r="Z32" i="10"/>
  <c r="Z16" i="14"/>
  <c r="Z17" i="41"/>
  <c r="Z19" i="31"/>
  <c r="Z14" i="12"/>
  <c r="AF14" i="12"/>
  <c r="AF17" i="41"/>
  <c r="AF32" i="10"/>
  <c r="AF16" i="14"/>
  <c r="AF19" i="31"/>
  <c r="H15" i="14"/>
  <c r="H16" i="41"/>
  <c r="H26" i="10"/>
  <c r="H13" i="12"/>
  <c r="H15" i="27"/>
  <c r="V14" i="12"/>
  <c r="V32" i="10"/>
  <c r="V17" i="41"/>
  <c r="V16" i="14"/>
  <c r="V19" i="31"/>
  <c r="M30" i="41"/>
  <c r="M11" i="12"/>
  <c r="M17" i="23"/>
  <c r="M14" i="41"/>
  <c r="M13" i="14"/>
  <c r="T16" i="14"/>
  <c r="T32" i="10"/>
  <c r="T17" i="41"/>
  <c r="T19" i="31"/>
  <c r="T14" i="12"/>
  <c r="AF13" i="12"/>
  <c r="AF15" i="14"/>
  <c r="AF15" i="27"/>
  <c r="AF16" i="41"/>
  <c r="AF26" i="10"/>
  <c r="I48" i="10"/>
  <c r="G12" i="14"/>
  <c r="G13" i="41"/>
  <c r="G9" i="10"/>
  <c r="G15" i="21"/>
  <c r="G23" i="41"/>
  <c r="G6" i="8"/>
  <c r="G21" i="9" s="1"/>
  <c r="G10" i="12"/>
  <c r="G7" i="8"/>
  <c r="AG21" i="10"/>
  <c r="AG12" i="12"/>
  <c r="AG14" i="14"/>
  <c r="AG15" i="25"/>
  <c r="AG15" i="41"/>
  <c r="AG36" i="41"/>
  <c r="AF48" i="10"/>
  <c r="L23" i="41"/>
  <c r="L12" i="14"/>
  <c r="L6" i="8"/>
  <c r="L21" i="9" s="1"/>
  <c r="L15" i="21"/>
  <c r="L10" i="12"/>
  <c r="L9" i="10"/>
  <c r="L13" i="41"/>
  <c r="L7" i="8"/>
  <c r="AI26" i="10"/>
  <c r="D13" i="12"/>
  <c r="D16" i="41"/>
  <c r="AH26" i="10"/>
  <c r="D15" i="14"/>
  <c r="D15" i="27"/>
  <c r="D26" i="10"/>
  <c r="J48" i="10"/>
  <c r="Z30" i="41"/>
  <c r="Z13" i="14"/>
  <c r="Z14" i="41"/>
  <c r="Z11" i="12"/>
  <c r="Z17" i="23"/>
  <c r="K15" i="14"/>
  <c r="K15" i="27"/>
  <c r="K16" i="41"/>
  <c r="K26" i="10"/>
  <c r="K13" i="12"/>
  <c r="U48" i="10"/>
  <c r="AC12" i="14"/>
  <c r="AC13" i="41"/>
  <c r="AC9" i="10"/>
  <c r="AC10" i="12"/>
  <c r="AC15" i="21"/>
  <c r="AC23" i="41"/>
  <c r="AA32" i="10"/>
  <c r="AA19" i="31"/>
  <c r="AA16" i="14"/>
  <c r="AA17" i="41"/>
  <c r="AA14" i="12"/>
  <c r="AD48" i="10"/>
  <c r="AB15" i="41"/>
  <c r="AB14" i="14"/>
  <c r="AB15" i="25"/>
  <c r="AB36" i="41"/>
  <c r="AB12" i="12"/>
  <c r="AB21" i="10"/>
  <c r="T18" i="41"/>
  <c r="T42" i="10"/>
  <c r="T15" i="12"/>
  <c r="T17" i="14"/>
  <c r="T15" i="33"/>
  <c r="R13" i="41"/>
  <c r="R9" i="10"/>
  <c r="R23" i="41"/>
  <c r="R10" i="12"/>
  <c r="R12" i="14"/>
  <c r="R15" i="21"/>
  <c r="O12" i="14"/>
  <c r="O13" i="41"/>
  <c r="O15" i="21"/>
  <c r="O9" i="10"/>
  <c r="O10" i="12"/>
  <c r="O23" i="41"/>
  <c r="I26" i="10"/>
  <c r="I16" i="41"/>
  <c r="I15" i="27"/>
  <c r="I13" i="12"/>
  <c r="I15" i="14"/>
  <c r="AF17" i="23"/>
  <c r="AF13" i="14"/>
  <c r="AF11" i="12"/>
  <c r="AF14" i="41"/>
  <c r="AF30" i="41"/>
  <c r="U15" i="25"/>
  <c r="U14" i="14"/>
  <c r="U36" i="41"/>
  <c r="U15" i="41"/>
  <c r="U21" i="10"/>
  <c r="U12" i="12"/>
  <c r="AA13" i="14"/>
  <c r="AA30" i="41"/>
  <c r="AA17" i="23"/>
  <c r="AA11" i="12"/>
  <c r="AA14" i="41"/>
  <c r="H21" i="10"/>
  <c r="H36" i="41"/>
  <c r="H12" i="12"/>
  <c r="H15" i="25"/>
  <c r="H14" i="14"/>
  <c r="H15" i="41"/>
  <c r="G48" i="10"/>
  <c r="W14" i="14"/>
  <c r="W15" i="25"/>
  <c r="W15" i="41"/>
  <c r="W12" i="12"/>
  <c r="W21" i="10"/>
  <c r="W36" i="41"/>
  <c r="X10" i="12"/>
  <c r="X13" i="41"/>
  <c r="X9" i="10"/>
  <c r="X12" i="14"/>
  <c r="X15" i="21"/>
  <c r="X23" i="41"/>
  <c r="AJ15" i="25"/>
  <c r="AJ14" i="14"/>
  <c r="AJ21" i="10"/>
  <c r="U15" i="33"/>
  <c r="U17" i="14"/>
  <c r="U18" i="41"/>
  <c r="U42" i="10"/>
  <c r="U15" i="12"/>
  <c r="W48" i="10"/>
  <c r="P18" i="41"/>
  <c r="P17" i="14"/>
  <c r="P15" i="33"/>
  <c r="P15" i="12"/>
  <c r="P42" i="10"/>
  <c r="AD15" i="12"/>
  <c r="AD42" i="10"/>
  <c r="AD17" i="14"/>
  <c r="AD18" i="41"/>
  <c r="AD15" i="33"/>
  <c r="Z15" i="41"/>
  <c r="Z14" i="14"/>
  <c r="Z21" i="10"/>
  <c r="Z15" i="25"/>
  <c r="Z12" i="12"/>
  <c r="Z36" i="41"/>
  <c r="AG15" i="12"/>
  <c r="AG18" i="41"/>
  <c r="AG42" i="10"/>
  <c r="AG15" i="33"/>
  <c r="AG17" i="14"/>
  <c r="F15" i="33"/>
  <c r="F17" i="14"/>
  <c r="F15" i="12"/>
  <c r="F42" i="10"/>
  <c r="F18" i="41"/>
  <c r="W15" i="27"/>
  <c r="W16" i="41"/>
  <c r="W15" i="14"/>
  <c r="W26" i="10"/>
  <c r="W13" i="12"/>
  <c r="U16" i="14"/>
  <c r="U32" i="10"/>
  <c r="U19" i="31"/>
  <c r="U17" i="41"/>
  <c r="U14" i="12"/>
  <c r="J15" i="41"/>
  <c r="J36" i="41"/>
  <c r="J21" i="10"/>
  <c r="J12" i="12"/>
  <c r="J15" i="25"/>
  <c r="J14" i="14"/>
  <c r="S32" i="10"/>
  <c r="S14" i="12"/>
  <c r="S17" i="41"/>
  <c r="S19" i="31"/>
  <c r="S16" i="14"/>
  <c r="AJ19" i="31"/>
  <c r="AJ16" i="14"/>
  <c r="AJ32" i="10"/>
  <c r="M16" i="14"/>
  <c r="M19" i="31"/>
  <c r="M17" i="41"/>
  <c r="M14" i="12"/>
  <c r="M32" i="10"/>
  <c r="AE36" i="41"/>
  <c r="AE15" i="41"/>
  <c r="AE15" i="25"/>
  <c r="AE21" i="10"/>
  <c r="AE14" i="14"/>
  <c r="AE12" i="12"/>
  <c r="AF15" i="41"/>
  <c r="AF21" i="10"/>
  <c r="AF15" i="25"/>
  <c r="AF14" i="14"/>
  <c r="AF36" i="41"/>
  <c r="AF12" i="12"/>
  <c r="Y16" i="41"/>
  <c r="Y13" i="12"/>
  <c r="Y26" i="10"/>
  <c r="Y15" i="14"/>
  <c r="Y15" i="27"/>
  <c r="Z6" i="8"/>
  <c r="Z32" i="9" s="1"/>
  <c r="Z10" i="12"/>
  <c r="Z7" i="8"/>
  <c r="Z23" i="41"/>
  <c r="Z9" i="10"/>
  <c r="Z13" i="41"/>
  <c r="Z12" i="14"/>
  <c r="Z15" i="21"/>
  <c r="P13" i="12"/>
  <c r="P15" i="14"/>
  <c r="P15" i="27"/>
  <c r="P16" i="41"/>
  <c r="P26" i="10"/>
  <c r="K14" i="12"/>
  <c r="K19" i="31"/>
  <c r="K32" i="10"/>
  <c r="K16" i="14"/>
  <c r="K17" i="41"/>
  <c r="T15" i="41"/>
  <c r="T36" i="41"/>
  <c r="T12" i="12"/>
  <c r="T14" i="14"/>
  <c r="T15" i="25"/>
  <c r="T21" i="10"/>
  <c r="E15" i="12"/>
  <c r="E18" i="41"/>
  <c r="E15" i="33"/>
  <c r="E17" i="14"/>
  <c r="E42" i="10"/>
  <c r="V48" i="10"/>
  <c r="U16" i="41"/>
  <c r="U26" i="10"/>
  <c r="U15" i="27"/>
  <c r="U15" i="14"/>
  <c r="U13" i="12"/>
  <c r="W15" i="12"/>
  <c r="W15" i="33"/>
  <c r="W17" i="14"/>
  <c r="W42" i="10"/>
  <c r="W18" i="41"/>
  <c r="F16" i="41"/>
  <c r="F15" i="14"/>
  <c r="F15" i="27"/>
  <c r="F13" i="12"/>
  <c r="F26" i="10"/>
  <c r="O48" i="10"/>
  <c r="G30" i="41"/>
  <c r="G13" i="14"/>
  <c r="G14" i="41"/>
  <c r="G11" i="12"/>
  <c r="G17" i="23"/>
  <c r="Z48" i="10"/>
  <c r="K48" i="10"/>
  <c r="V15" i="33"/>
  <c r="V42" i="10"/>
  <c r="V15" i="12"/>
  <c r="V17" i="14"/>
  <c r="V18" i="41"/>
  <c r="Q48" i="10"/>
  <c r="N15" i="33"/>
  <c r="N15" i="12"/>
  <c r="N17" i="14"/>
  <c r="N18" i="41"/>
  <c r="N42" i="10"/>
  <c r="L11" i="12"/>
  <c r="L13" i="14"/>
  <c r="L17" i="23"/>
  <c r="L30" i="41"/>
  <c r="L14" i="41"/>
  <c r="N10" i="12"/>
  <c r="N9" i="10"/>
  <c r="N12" i="14"/>
  <c r="N23" i="41"/>
  <c r="N15" i="21"/>
  <c r="N13" i="41"/>
  <c r="X15" i="27"/>
  <c r="X13" i="12"/>
  <c r="X26" i="10"/>
  <c r="X15" i="14"/>
  <c r="X16" i="41"/>
  <c r="N16" i="41"/>
  <c r="N15" i="27"/>
  <c r="N15" i="14"/>
  <c r="N26" i="10"/>
  <c r="N13" i="12"/>
  <c r="AA15" i="41"/>
  <c r="AA36" i="41"/>
  <c r="AA14" i="14"/>
  <c r="AA21" i="10"/>
  <c r="AA15" i="25"/>
  <c r="AA12" i="12"/>
  <c r="N14" i="14"/>
  <c r="N15" i="25"/>
  <c r="N21" i="10"/>
  <c r="N15" i="41"/>
  <c r="N36" i="41"/>
  <c r="N12" i="12"/>
  <c r="W7" i="8"/>
  <c r="W13" i="41"/>
  <c r="W9" i="10"/>
  <c r="W12" i="14"/>
  <c r="W6" i="8"/>
  <c r="W26" i="9" s="1"/>
  <c r="W15" i="21"/>
  <c r="W10" i="12"/>
  <c r="W23" i="41"/>
  <c r="U10" i="12"/>
  <c r="U13" i="41"/>
  <c r="U23" i="41"/>
  <c r="U9" i="10"/>
  <c r="U15" i="21"/>
  <c r="U12" i="14"/>
  <c r="Z15" i="27"/>
  <c r="Z13" i="12"/>
  <c r="Z16" i="41"/>
  <c r="Z15" i="14"/>
  <c r="Z26" i="10"/>
  <c r="O21" i="10"/>
  <c r="O15" i="41"/>
  <c r="O15" i="25"/>
  <c r="O36" i="41"/>
  <c r="O14" i="14"/>
  <c r="O12" i="12"/>
  <c r="J13" i="14"/>
  <c r="J17" i="23"/>
  <c r="J30" i="41"/>
  <c r="J11" i="12"/>
  <c r="J14" i="41"/>
  <c r="AJ12" i="14"/>
  <c r="AJ15" i="21"/>
  <c r="AJ9" i="10"/>
  <c r="S48" i="10"/>
  <c r="AB18" i="41"/>
  <c r="AB42" i="10"/>
  <c r="AB15" i="12"/>
  <c r="AB15" i="33"/>
  <c r="AB17" i="14"/>
  <c r="E48" i="10"/>
  <c r="R13" i="12"/>
  <c r="R16" i="41"/>
  <c r="R15" i="27"/>
  <c r="R15" i="14"/>
  <c r="R26" i="10"/>
  <c r="N14" i="12"/>
  <c r="N32" i="10"/>
  <c r="N17" i="41"/>
  <c r="N19" i="31"/>
  <c r="N16" i="14"/>
  <c r="L42" i="10"/>
  <c r="L18" i="41"/>
  <c r="L17" i="14"/>
  <c r="L15" i="33"/>
  <c r="L15" i="12"/>
  <c r="I14" i="41"/>
  <c r="I11" i="12"/>
  <c r="I30" i="41"/>
  <c r="I17" i="23"/>
  <c r="I13" i="14"/>
  <c r="AC15" i="14"/>
  <c r="AC16" i="41"/>
  <c r="AC15" i="27"/>
  <c r="AC26" i="10"/>
  <c r="AC13" i="12"/>
  <c r="AE17" i="23"/>
  <c r="AE14" i="41"/>
  <c r="AE11" i="12"/>
  <c r="AE13" i="14"/>
  <c r="AE30" i="41"/>
  <c r="AD13" i="12"/>
  <c r="AD16" i="41"/>
  <c r="AD26" i="10"/>
  <c r="AD15" i="27"/>
  <c r="AD15" i="14"/>
  <c r="H32" i="10"/>
  <c r="H14" i="12"/>
  <c r="H17" i="41"/>
  <c r="H16" i="14"/>
  <c r="H19" i="31"/>
  <c r="L21" i="10"/>
  <c r="L12" i="12"/>
  <c r="L15" i="25"/>
  <c r="L14" i="14"/>
  <c r="L15" i="41"/>
  <c r="L36" i="41"/>
  <c r="AD17" i="41"/>
  <c r="AD16" i="14"/>
  <c r="AD19" i="31"/>
  <c r="AD32" i="10"/>
  <c r="AD14" i="12"/>
  <c r="S36" i="41"/>
  <c r="S21" i="10"/>
  <c r="S14" i="14"/>
  <c r="S15" i="25"/>
  <c r="S15" i="41"/>
  <c r="S12" i="12"/>
  <c r="X48" i="10"/>
  <c r="Z15" i="33"/>
  <c r="Z15" i="12"/>
  <c r="Z18" i="41"/>
  <c r="Z17" i="14"/>
  <c r="Z42" i="10"/>
  <c r="H15" i="12"/>
  <c r="H15" i="33"/>
  <c r="H17" i="14"/>
  <c r="H42" i="10"/>
  <c r="H18" i="41"/>
  <c r="S15" i="33"/>
  <c r="S18" i="41"/>
  <c r="S17" i="14"/>
  <c r="S15" i="12"/>
  <c r="S42" i="10"/>
  <c r="AG32" i="10"/>
  <c r="AG19" i="31"/>
  <c r="AG17" i="41"/>
  <c r="AG16" i="14"/>
  <c r="AG14" i="12"/>
  <c r="AF9" i="10"/>
  <c r="AF6" i="8"/>
  <c r="AF14" i="9" s="1"/>
  <c r="AF7" i="8"/>
  <c r="AF15" i="21"/>
  <c r="AF13" i="41"/>
  <c r="AF10" i="12"/>
  <c r="AF12" i="14"/>
  <c r="AF23" i="41"/>
  <c r="AB14" i="12"/>
  <c r="AB17" i="41"/>
  <c r="AB16" i="14"/>
  <c r="AB19" i="31"/>
  <c r="AB32" i="10"/>
  <c r="P14" i="12"/>
  <c r="P16" i="14"/>
  <c r="P19" i="31"/>
  <c r="P32" i="10"/>
  <c r="P17" i="41"/>
  <c r="S16" i="41"/>
  <c r="S13" i="12"/>
  <c r="S15" i="27"/>
  <c r="S15" i="14"/>
  <c r="S26" i="10"/>
  <c r="M13" i="12"/>
  <c r="M26" i="10"/>
  <c r="M15" i="14"/>
  <c r="M15" i="27"/>
  <c r="M16" i="41"/>
  <c r="Y19" i="31"/>
  <c r="Y16" i="14"/>
  <c r="Y17" i="41"/>
  <c r="Y32" i="10"/>
  <c r="Y14" i="12"/>
  <c r="O18" i="41"/>
  <c r="O15" i="12"/>
  <c r="O17" i="14"/>
  <c r="O42" i="10"/>
  <c r="O15" i="33"/>
  <c r="D16" i="14"/>
  <c r="D32" i="10"/>
  <c r="AH32" i="10"/>
  <c r="AI32" i="10"/>
  <c r="D17" i="41"/>
  <c r="D14" i="12"/>
  <c r="D19" i="31"/>
  <c r="T13" i="12"/>
  <c r="T15" i="27"/>
  <c r="T26" i="10"/>
  <c r="T15" i="14"/>
  <c r="T16" i="41"/>
  <c r="E15" i="41"/>
  <c r="E12" i="12"/>
  <c r="E14" i="14"/>
  <c r="E21" i="10"/>
  <c r="E36" i="41"/>
  <c r="E15" i="25"/>
  <c r="V15" i="41"/>
  <c r="V15" i="25"/>
  <c r="V21" i="10"/>
  <c r="V14" i="14"/>
  <c r="V36" i="41"/>
  <c r="V12" i="12"/>
  <c r="M48" i="10"/>
  <c r="I15" i="33"/>
  <c r="I15" i="12"/>
  <c r="I17" i="14"/>
  <c r="I42" i="10"/>
  <c r="I18" i="41"/>
  <c r="Q15" i="25"/>
  <c r="Q21" i="10"/>
  <c r="Q36" i="41"/>
  <c r="Q14" i="14"/>
  <c r="Q12" i="12"/>
  <c r="Q15" i="41"/>
  <c r="Y11" i="12"/>
  <c r="Y14" i="41"/>
  <c r="Y13" i="14"/>
  <c r="Y17" i="23"/>
  <c r="Y30" i="41"/>
  <c r="D15" i="12"/>
  <c r="AH42" i="10"/>
  <c r="D17" i="14"/>
  <c r="D18" i="41"/>
  <c r="D42" i="10"/>
  <c r="AI42" i="10"/>
  <c r="D15" i="33"/>
  <c r="R48" i="10"/>
  <c r="K10" i="12"/>
  <c r="K13" i="41"/>
  <c r="K9" i="10"/>
  <c r="K12" i="14"/>
  <c r="K23" i="41"/>
  <c r="K15" i="21"/>
  <c r="Q17" i="41"/>
  <c r="Q14" i="12"/>
  <c r="Q32" i="10"/>
  <c r="Q19" i="31"/>
  <c r="Q16" i="14"/>
  <c r="R15" i="33"/>
  <c r="R15" i="12"/>
  <c r="R17" i="14"/>
  <c r="R42" i="10"/>
  <c r="R18" i="41"/>
  <c r="X18" i="41"/>
  <c r="X42" i="10"/>
  <c r="X17" i="14"/>
  <c r="X15" i="33"/>
  <c r="X15" i="12"/>
  <c r="M15" i="21"/>
  <c r="M9" i="10"/>
  <c r="M12" i="14"/>
  <c r="M7" i="8"/>
  <c r="M23" i="41"/>
  <c r="M6" i="8"/>
  <c r="M10" i="12"/>
  <c r="M13" i="41"/>
  <c r="G42" i="10"/>
  <c r="G18" i="41"/>
  <c r="G15" i="12"/>
  <c r="G17" i="14"/>
  <c r="G15" i="33"/>
  <c r="AD9" i="10"/>
  <c r="AD15" i="21"/>
  <c r="AD23" i="41"/>
  <c r="AD12" i="14"/>
  <c r="AD13" i="41"/>
  <c r="AD10" i="12"/>
  <c r="Y17" i="14"/>
  <c r="Y18" i="41"/>
  <c r="Y15" i="33"/>
  <c r="Y42" i="10"/>
  <c r="Y15" i="12"/>
  <c r="P15" i="25"/>
  <c r="P15" i="41"/>
  <c r="P36" i="41"/>
  <c r="P12" i="12"/>
  <c r="P21" i="10"/>
  <c r="P14" i="14"/>
  <c r="Y15" i="41"/>
  <c r="Y21" i="10"/>
  <c r="Y14" i="14"/>
  <c r="Y15" i="25"/>
  <c r="Y12" i="12"/>
  <c r="Y36" i="41"/>
  <c r="V16" i="41"/>
  <c r="V26" i="10"/>
  <c r="V13" i="12"/>
  <c r="V15" i="14"/>
  <c r="V15" i="27"/>
  <c r="AA17" i="14"/>
  <c r="AA15" i="12"/>
  <c r="AA18" i="41"/>
  <c r="AA42" i="10"/>
  <c r="AA15" i="33"/>
  <c r="AA48" i="10"/>
  <c r="H48" i="10"/>
  <c r="T48" i="10"/>
  <c r="J16" i="41"/>
  <c r="J26" i="10"/>
  <c r="J15" i="14"/>
  <c r="J15" i="27"/>
  <c r="J13" i="12"/>
  <c r="L15" i="27"/>
  <c r="L26" i="10"/>
  <c r="L16" i="41"/>
  <c r="L15" i="14"/>
  <c r="L13" i="12"/>
  <c r="Y6" i="8"/>
  <c r="Y26" i="9" s="1"/>
  <c r="Y12" i="14"/>
  <c r="Y15" i="21"/>
  <c r="Y13" i="41"/>
  <c r="Y23" i="41"/>
  <c r="Y9" i="10"/>
  <c r="Y10" i="12"/>
  <c r="Y7" i="8"/>
  <c r="AC42" i="10"/>
  <c r="AC18" i="41"/>
  <c r="AC17" i="14"/>
  <c r="AC15" i="12"/>
  <c r="AC15" i="33"/>
  <c r="L48" i="10"/>
  <c r="AG16" i="41"/>
  <c r="AG15" i="14"/>
  <c r="AG26" i="10"/>
  <c r="AG15" i="27"/>
  <c r="AG13" i="12"/>
  <c r="AF15" i="33"/>
  <c r="AF42" i="10"/>
  <c r="AF15" i="12"/>
  <c r="AF18" i="41"/>
  <c r="AF17" i="14"/>
  <c r="T15" i="21"/>
  <c r="T23" i="41"/>
  <c r="T9" i="10"/>
  <c r="T12" i="14"/>
  <c r="T13" i="41"/>
  <c r="T10" i="12"/>
  <c r="R16" i="14"/>
  <c r="R14" i="12"/>
  <c r="R17" i="41"/>
  <c r="R32" i="10"/>
  <c r="R19" i="31"/>
  <c r="E26" i="10"/>
  <c r="E15" i="27"/>
  <c r="E15" i="14"/>
  <c r="E16" i="41"/>
  <c r="E13" i="12"/>
  <c r="W17" i="41"/>
  <c r="W14" i="12"/>
  <c r="W19" i="31"/>
  <c r="W16" i="14"/>
  <c r="W32" i="10"/>
  <c r="V13" i="41"/>
  <c r="V12" i="14"/>
  <c r="V23" i="41"/>
  <c r="V15" i="21"/>
  <c r="V9" i="10"/>
  <c r="V10" i="12"/>
  <c r="L14" i="12"/>
  <c r="L32" i="10"/>
  <c r="L19" i="31"/>
  <c r="L16" i="14"/>
  <c r="L17" i="41"/>
  <c r="AE15" i="12"/>
  <c r="AE42" i="10"/>
  <c r="AE17" i="14"/>
  <c r="AE15" i="33"/>
  <c r="AE18" i="41"/>
  <c r="I7" i="8"/>
  <c r="I9" i="10"/>
  <c r="I10" i="12"/>
  <c r="I23" i="41"/>
  <c r="I15" i="21"/>
  <c r="I13" i="41"/>
  <c r="I6" i="8"/>
  <c r="I14" i="9" s="1"/>
  <c r="I12" i="14"/>
  <c r="AG48" i="10"/>
  <c r="H12" i="14"/>
  <c r="H15" i="21"/>
  <c r="H10" i="12"/>
  <c r="H13" i="41"/>
  <c r="H9" i="10"/>
  <c r="H23" i="41"/>
  <c r="W14" i="41"/>
  <c r="W17" i="23"/>
  <c r="W30" i="41"/>
  <c r="W11" i="12"/>
  <c r="W13" i="14"/>
  <c r="AB48" i="10"/>
  <c r="Q15" i="14"/>
  <c r="Q16" i="41"/>
  <c r="Q15" i="27"/>
  <c r="Q26" i="10"/>
  <c r="Q13" i="12"/>
  <c r="AC17" i="41"/>
  <c r="AC19" i="31"/>
  <c r="AC16" i="14"/>
  <c r="AC32" i="10"/>
  <c r="AC14" i="12"/>
  <c r="AE16" i="14"/>
  <c r="AE17" i="41"/>
  <c r="AE32" i="10"/>
  <c r="AE14" i="12"/>
  <c r="AE19" i="31"/>
  <c r="K15" i="25"/>
  <c r="K14" i="14"/>
  <c r="K12" i="12"/>
  <c r="K15" i="41"/>
  <c r="K36" i="41"/>
  <c r="K21" i="10"/>
  <c r="G26" i="10"/>
  <c r="G15" i="14"/>
  <c r="G16" i="41"/>
  <c r="G15" i="27"/>
  <c r="G13" i="12"/>
  <c r="Q13" i="41"/>
  <c r="Q12" i="14"/>
  <c r="Q15" i="21"/>
  <c r="Q10" i="12"/>
  <c r="Q9" i="10"/>
  <c r="Q23" i="41"/>
  <c r="E23" i="41"/>
  <c r="E13" i="41"/>
  <c r="E10" i="12"/>
  <c r="E15" i="21"/>
  <c r="E9" i="10"/>
  <c r="E12" i="14"/>
  <c r="D10" i="12"/>
  <c r="AI9" i="10"/>
  <c r="D15" i="21"/>
  <c r="D12" i="14"/>
  <c r="AH9" i="10"/>
  <c r="D9" i="10"/>
  <c r="D13" i="41"/>
  <c r="D23" i="41"/>
  <c r="N48" i="10"/>
  <c r="M18" i="41"/>
  <c r="M42" i="10"/>
  <c r="M15" i="12"/>
  <c r="M17" i="14"/>
  <c r="M15" i="33"/>
  <c r="G36" i="41"/>
  <c r="G15" i="25"/>
  <c r="G15" i="41"/>
  <c r="G21" i="10"/>
  <c r="G12" i="12"/>
  <c r="G14" i="14"/>
  <c r="I36" i="41"/>
  <c r="I15" i="41"/>
  <c r="I15" i="25"/>
  <c r="I12" i="12"/>
  <c r="I14" i="14"/>
  <c r="I21" i="10"/>
  <c r="AB13" i="14"/>
  <c r="AB17" i="23"/>
  <c r="AB30" i="41"/>
  <c r="AB11" i="12"/>
  <c r="AB14" i="41"/>
  <c r="D15" i="41"/>
  <c r="D14" i="14"/>
  <c r="D12" i="12"/>
  <c r="D15" i="25"/>
  <c r="AH21" i="10"/>
  <c r="AI21" i="10"/>
  <c r="D21" i="10"/>
  <c r="D36" i="41"/>
  <c r="AA13" i="12"/>
  <c r="AA15" i="14"/>
  <c r="AA26" i="10"/>
  <c r="AA16" i="41"/>
  <c r="AA15" i="27"/>
  <c r="S7" i="8"/>
  <c r="S9" i="10"/>
  <c r="S13" i="41"/>
  <c r="S15" i="21"/>
  <c r="S6" i="8"/>
  <c r="S32" i="9" s="1"/>
  <c r="S12" i="14"/>
  <c r="S23" i="41"/>
  <c r="S10" i="12"/>
  <c r="AJ48" i="10"/>
  <c r="S13" i="14"/>
  <c r="S30" i="41"/>
  <c r="S11" i="12"/>
  <c r="S17" i="23"/>
  <c r="S14" i="41"/>
  <c r="I16" i="14"/>
  <c r="I17" i="41"/>
  <c r="I19" i="31"/>
  <c r="I32" i="10"/>
  <c r="I14" i="12"/>
  <c r="G17" i="41"/>
  <c r="G32" i="10"/>
  <c r="G19" i="31"/>
  <c r="G16" i="14"/>
  <c r="G14" i="12"/>
  <c r="AE15" i="27"/>
  <c r="AE15" i="14"/>
  <c r="AE26" i="10"/>
  <c r="AE13" i="12"/>
  <c r="AE16" i="41"/>
  <c r="P48" i="10"/>
  <c r="AJ17" i="14"/>
  <c r="AJ15" i="33"/>
  <c r="AJ42" i="10"/>
  <c r="P13" i="14"/>
  <c r="P17" i="23"/>
  <c r="P14" i="41"/>
  <c r="P30" i="41"/>
  <c r="P11" i="12"/>
  <c r="O15" i="27"/>
  <c r="O16" i="41"/>
  <c r="O13" i="12"/>
  <c r="O15" i="14"/>
  <c r="O26" i="10"/>
  <c r="E17" i="41"/>
  <c r="E14" i="12"/>
  <c r="E19" i="31"/>
  <c r="E32" i="10"/>
  <c r="E16" i="14"/>
  <c r="Q15" i="12"/>
  <c r="Q42" i="10"/>
  <c r="Q15" i="33"/>
  <c r="Q18" i="41"/>
  <c r="Q17" i="14"/>
  <c r="J16" i="14"/>
  <c r="J19" i="31"/>
  <c r="J14" i="12"/>
  <c r="J32" i="10"/>
  <c r="J17" i="41"/>
  <c r="X12" i="12"/>
  <c r="X14" i="14"/>
  <c r="X36" i="41"/>
  <c r="X15" i="25"/>
  <c r="X21" i="10"/>
  <c r="X15" i="41"/>
  <c r="AB13" i="12"/>
  <c r="AB26" i="10"/>
  <c r="AB15" i="27"/>
  <c r="AB16" i="41"/>
  <c r="AB15" i="14"/>
  <c r="AE12" i="14"/>
  <c r="AE7" i="8"/>
  <c r="AE23" i="41"/>
  <c r="AE15" i="21"/>
  <c r="AE13" i="41"/>
  <c r="AE6" i="8"/>
  <c r="AE26" i="9" s="1"/>
  <c r="AE9" i="10"/>
  <c r="AE10" i="12"/>
  <c r="J17" i="14"/>
  <c r="J42" i="10"/>
  <c r="J18" i="41"/>
  <c r="J15" i="33"/>
  <c r="J15" i="12"/>
  <c r="AC48" i="10"/>
  <c r="M36" i="41"/>
  <c r="M15" i="25"/>
  <c r="M14" i="14"/>
  <c r="M12" i="12"/>
  <c r="M15" i="41"/>
  <c r="M21" i="10"/>
  <c r="AJ15" i="14"/>
  <c r="AJ15" i="27"/>
  <c r="AJ26" i="10"/>
  <c r="K42" i="10"/>
  <c r="K15" i="33"/>
  <c r="K17" i="14"/>
  <c r="K15" i="12"/>
  <c r="K18" i="41"/>
  <c r="AL22" i="14" l="1"/>
  <c r="AL167" i="14"/>
  <c r="AQ199" i="14"/>
  <c r="AQ187" i="14" s="1"/>
  <c r="AO199" i="14"/>
  <c r="AO187" i="14" s="1"/>
  <c r="AN199" i="14"/>
  <c r="AN187" i="14" s="1"/>
  <c r="AM199" i="14"/>
  <c r="AM187" i="14" s="1"/>
  <c r="AR199" i="14"/>
  <c r="AR187" i="14" s="1"/>
  <c r="AL199" i="14"/>
  <c r="AL187" i="14" s="1"/>
  <c r="AL175" i="14" s="1"/>
  <c r="AP199" i="14"/>
  <c r="AP187" i="14" s="1"/>
  <c r="AL171" i="14"/>
  <c r="AM171" i="14" s="1"/>
  <c r="AL26" i="14"/>
  <c r="AL173" i="14"/>
  <c r="AO173" i="14" s="1"/>
  <c r="AO161" i="14" s="1"/>
  <c r="AO137" i="14" s="1"/>
  <c r="AL28" i="14"/>
  <c r="AL172" i="14"/>
  <c r="AO172" i="14" s="1"/>
  <c r="AO160" i="14" s="1"/>
  <c r="AL27" i="14"/>
  <c r="AL169" i="14"/>
  <c r="AR169" i="14" s="1"/>
  <c r="AR157" i="14" s="1"/>
  <c r="AR133" i="14" s="1"/>
  <c r="AR109" i="14" s="1"/>
  <c r="AR85" i="14" s="1"/>
  <c r="AR61" i="14" s="1"/>
  <c r="AR24" i="14" s="1"/>
  <c r="AL24" i="14"/>
  <c r="AL170" i="14"/>
  <c r="AM170" i="14" s="1"/>
  <c r="AL25" i="14"/>
  <c r="AE11" i="14"/>
  <c r="Z11" i="14"/>
  <c r="AB11" i="14"/>
  <c r="Y11" i="14"/>
  <c r="AA11" i="14"/>
  <c r="AF11" i="14"/>
  <c r="AL14" i="10"/>
  <c r="AK14" i="10"/>
  <c r="F10" i="44"/>
  <c r="D7" i="8"/>
  <c r="P7" i="10" s="1"/>
  <c r="D13" i="14"/>
  <c r="F17" i="23"/>
  <c r="Z14" i="10"/>
  <c r="F11" i="12"/>
  <c r="F16" i="12" s="1"/>
  <c r="F13" i="14"/>
  <c r="F9" i="44"/>
  <c r="F30" i="41"/>
  <c r="F14" i="41"/>
  <c r="F7" i="8"/>
  <c r="AD11" i="12"/>
  <c r="AD16" i="12" s="1"/>
  <c r="M14" i="10"/>
  <c r="AD6" i="8"/>
  <c r="AD9" i="9" s="1"/>
  <c r="AD13" i="14"/>
  <c r="AD11" i="14" s="1"/>
  <c r="AD30" i="41"/>
  <c r="AD34" i="41" s="1"/>
  <c r="AD17" i="23"/>
  <c r="AD7" i="8"/>
  <c r="AD14" i="10"/>
  <c r="AA14" i="10"/>
  <c r="N7" i="8"/>
  <c r="Y14" i="10"/>
  <c r="N14" i="41"/>
  <c r="N17" i="23"/>
  <c r="N11" i="12"/>
  <c r="N16" i="12" s="1"/>
  <c r="N30" i="41"/>
  <c r="N6" i="8"/>
  <c r="N21" i="9" s="1"/>
  <c r="Q6" i="8"/>
  <c r="Q32" i="9" s="1"/>
  <c r="W14" i="10"/>
  <c r="D14" i="10"/>
  <c r="T14" i="10"/>
  <c r="S14" i="10"/>
  <c r="AB14" i="10"/>
  <c r="D14" i="41"/>
  <c r="J14" i="10"/>
  <c r="D11" i="12"/>
  <c r="D16" i="12" s="1"/>
  <c r="AO17" i="12" s="1"/>
  <c r="I14" i="10"/>
  <c r="D6" i="8"/>
  <c r="T7" i="8"/>
  <c r="AH14" i="10"/>
  <c r="AF14" i="10"/>
  <c r="T6" i="8"/>
  <c r="T26" i="9" s="1"/>
  <c r="AI14" i="10"/>
  <c r="T11" i="12"/>
  <c r="T16" i="12" s="1"/>
  <c r="D30" i="41"/>
  <c r="D17" i="23"/>
  <c r="F14" i="10"/>
  <c r="AE14" i="10"/>
  <c r="P14" i="10"/>
  <c r="G14" i="10"/>
  <c r="T30" i="41"/>
  <c r="L14" i="10"/>
  <c r="N14" i="10"/>
  <c r="T17" i="23"/>
  <c r="Q7" i="8"/>
  <c r="T14" i="41"/>
  <c r="T13" i="14"/>
  <c r="AJ41" i="41"/>
  <c r="AJ42" i="41"/>
  <c r="R14" i="10"/>
  <c r="AJ29" i="41"/>
  <c r="AJ14" i="41"/>
  <c r="AJ30" i="41"/>
  <c r="V6" i="8"/>
  <c r="V32" i="9" s="1"/>
  <c r="AJ11" i="12"/>
  <c r="AJ16" i="12" s="1"/>
  <c r="V14" i="41"/>
  <c r="V13" i="14"/>
  <c r="AJ7" i="8"/>
  <c r="AJ6" i="8"/>
  <c r="AJ40" i="9" s="1"/>
  <c r="AC14" i="10"/>
  <c r="V17" i="23"/>
  <c r="Q30" i="41"/>
  <c r="V14" i="10"/>
  <c r="AJ17" i="23"/>
  <c r="Q14" i="41"/>
  <c r="Q14" i="10"/>
  <c r="V7" i="8"/>
  <c r="V11" i="12"/>
  <c r="V16" i="12" s="1"/>
  <c r="V30" i="41"/>
  <c r="AJ14" i="10"/>
  <c r="AJ13" i="14"/>
  <c r="AJ11" i="14" s="1"/>
  <c r="R17" i="23"/>
  <c r="Q17" i="23"/>
  <c r="Q13" i="14"/>
  <c r="AC14" i="41"/>
  <c r="AC11" i="12"/>
  <c r="AC16" i="12" s="1"/>
  <c r="AC30" i="41"/>
  <c r="AC34" i="41" s="1"/>
  <c r="AC13" i="14"/>
  <c r="AC11" i="14" s="1"/>
  <c r="AC6" i="8"/>
  <c r="AC21" i="9" s="1"/>
  <c r="AC7" i="8"/>
  <c r="O14" i="41"/>
  <c r="O14" i="10"/>
  <c r="O7" i="8"/>
  <c r="O11" i="12"/>
  <c r="O16" i="12" s="1"/>
  <c r="O13" i="14"/>
  <c r="O17" i="23"/>
  <c r="O30" i="41"/>
  <c r="R11" i="12"/>
  <c r="R16" i="12" s="1"/>
  <c r="X13" i="14"/>
  <c r="X11" i="14" s="1"/>
  <c r="U6" i="8"/>
  <c r="U26" i="9" s="1"/>
  <c r="H30" i="41"/>
  <c r="U14" i="41"/>
  <c r="H6" i="8"/>
  <c r="H42" i="9" s="1"/>
  <c r="H13" i="14"/>
  <c r="X30" i="41"/>
  <c r="X7" i="8"/>
  <c r="U11" i="12"/>
  <c r="U16" i="12" s="1"/>
  <c r="U30" i="41"/>
  <c r="H7" i="8"/>
  <c r="H14" i="10"/>
  <c r="H14" i="41"/>
  <c r="X14" i="10"/>
  <c r="X14" i="41"/>
  <c r="X6" i="8"/>
  <c r="X32" i="9" s="1"/>
  <c r="U14" i="10"/>
  <c r="U17" i="23"/>
  <c r="H17" i="23"/>
  <c r="X17" i="23"/>
  <c r="U7" i="8"/>
  <c r="R14" i="41"/>
  <c r="R6" i="8"/>
  <c r="R14" i="9" s="1"/>
  <c r="R13" i="14"/>
  <c r="R30" i="41"/>
  <c r="AG14" i="41"/>
  <c r="K14" i="10"/>
  <c r="AG17" i="23"/>
  <c r="E6" i="8"/>
  <c r="E9" i="9" s="1"/>
  <c r="E14" i="10"/>
  <c r="E17" i="23"/>
  <c r="E11" i="12"/>
  <c r="E16" i="12" s="1"/>
  <c r="E30" i="41"/>
  <c r="E7" i="8"/>
  <c r="E13" i="14"/>
  <c r="E14" i="41"/>
  <c r="AG14" i="10"/>
  <c r="K11" i="12"/>
  <c r="K16" i="12" s="1"/>
  <c r="K13" i="14"/>
  <c r="AG11" i="12"/>
  <c r="AG16" i="12" s="1"/>
  <c r="K6" i="8"/>
  <c r="K26" i="9" s="1"/>
  <c r="K30" i="41"/>
  <c r="AG7" i="8"/>
  <c r="AG13" i="14"/>
  <c r="AG11" i="14" s="1"/>
  <c r="AG30" i="41"/>
  <c r="AG35" i="41" s="1"/>
  <c r="K7" i="8"/>
  <c r="K14" i="41"/>
  <c r="AB14" i="9"/>
  <c r="AB32" i="9"/>
  <c r="AB42" i="9"/>
  <c r="P32" i="9"/>
  <c r="AB26" i="9"/>
  <c r="G32" i="9"/>
  <c r="AG32" i="9"/>
  <c r="AG9" i="9"/>
  <c r="AG14" i="9"/>
  <c r="G26" i="9"/>
  <c r="AF42" i="9"/>
  <c r="AG26" i="9"/>
  <c r="F9" i="9"/>
  <c r="AG21" i="9"/>
  <c r="L32" i="9"/>
  <c r="AA14" i="9"/>
  <c r="O42" i="9"/>
  <c r="S14" i="9"/>
  <c r="M16" i="12"/>
  <c r="O21" i="9"/>
  <c r="L26" i="9"/>
  <c r="O9" i="9"/>
  <c r="Y9" i="9"/>
  <c r="AF16" i="12"/>
  <c r="O32" i="9"/>
  <c r="L14" i="9"/>
  <c r="F32" i="9"/>
  <c r="S21" i="9"/>
  <c r="Z16" i="12"/>
  <c r="L9" i="9"/>
  <c r="Q16" i="12"/>
  <c r="G42" i="9"/>
  <c r="G14" i="9"/>
  <c r="P21" i="9"/>
  <c r="AE42" i="41"/>
  <c r="AE41" i="41"/>
  <c r="AE6" i="9"/>
  <c r="AE6" i="41"/>
  <c r="AE18" i="9"/>
  <c r="AE46" i="9"/>
  <c r="AE40" i="9"/>
  <c r="AE24" i="9"/>
  <c r="AE10" i="9"/>
  <c r="AE39" i="9"/>
  <c r="AE30" i="9"/>
  <c r="AE33" i="9"/>
  <c r="AE27" i="9"/>
  <c r="AE17" i="9"/>
  <c r="AE44" i="9"/>
  <c r="AE12" i="9"/>
  <c r="AE28" i="9"/>
  <c r="AE11" i="9"/>
  <c r="AE16" i="9"/>
  <c r="AE15" i="9"/>
  <c r="AE43" i="9"/>
  <c r="AE22" i="9"/>
  <c r="AE34" i="9"/>
  <c r="AE19" i="9"/>
  <c r="AE38" i="9"/>
  <c r="AE35" i="9"/>
  <c r="AE29" i="9"/>
  <c r="AE45" i="9"/>
  <c r="AE37" i="9"/>
  <c r="AE36" i="9"/>
  <c r="AE23" i="9"/>
  <c r="AB35" i="41"/>
  <c r="AB34" i="41"/>
  <c r="I16" i="12"/>
  <c r="AD29" i="41"/>
  <c r="AD28" i="41"/>
  <c r="AF41" i="41"/>
  <c r="AF42" i="41"/>
  <c r="W21" i="9"/>
  <c r="I26" i="9"/>
  <c r="AF26" i="9"/>
  <c r="J6" i="41"/>
  <c r="J6" i="9"/>
  <c r="J16" i="9"/>
  <c r="J15" i="9"/>
  <c r="J11" i="9"/>
  <c r="J40" i="9"/>
  <c r="J39" i="9"/>
  <c r="J34" i="9"/>
  <c r="J46" i="9"/>
  <c r="J36" i="9"/>
  <c r="J43" i="9"/>
  <c r="J23" i="9"/>
  <c r="J38" i="9"/>
  <c r="J27" i="9"/>
  <c r="J37" i="9"/>
  <c r="J44" i="9"/>
  <c r="J33" i="9"/>
  <c r="J24" i="9"/>
  <c r="J17" i="9"/>
  <c r="J35" i="9"/>
  <c r="J18" i="9"/>
  <c r="J28" i="9"/>
  <c r="J19" i="9"/>
  <c r="J22" i="9"/>
  <c r="J30" i="9"/>
  <c r="J45" i="9"/>
  <c r="J12" i="9"/>
  <c r="J29" i="9"/>
  <c r="J10" i="9"/>
  <c r="Z42" i="9"/>
  <c r="Z6" i="9"/>
  <c r="Z6" i="41"/>
  <c r="Z30" i="9"/>
  <c r="Z23" i="9"/>
  <c r="Z10" i="9"/>
  <c r="Z12" i="9"/>
  <c r="Z17" i="9"/>
  <c r="Z27" i="9"/>
  <c r="Z44" i="9"/>
  <c r="Z11" i="9"/>
  <c r="Z37" i="9"/>
  <c r="Z40" i="9"/>
  <c r="Z39" i="9"/>
  <c r="Z34" i="9"/>
  <c r="Z38" i="9"/>
  <c r="Z36" i="9"/>
  <c r="Z29" i="9"/>
  <c r="Z28" i="9"/>
  <c r="Z19" i="9"/>
  <c r="Z22" i="9"/>
  <c r="Z43" i="9"/>
  <c r="Z15" i="9"/>
  <c r="Z46" i="9"/>
  <c r="Z16" i="9"/>
  <c r="Z33" i="9"/>
  <c r="Z35" i="9"/>
  <c r="Z18" i="9"/>
  <c r="Z24" i="9"/>
  <c r="Z45" i="9"/>
  <c r="Y16" i="12"/>
  <c r="W9" i="9"/>
  <c r="G16" i="12"/>
  <c r="F14" i="9"/>
  <c r="F6" i="9"/>
  <c r="F6" i="41"/>
  <c r="F35" i="9"/>
  <c r="F39" i="9"/>
  <c r="F40" i="9"/>
  <c r="F37" i="9"/>
  <c r="F27" i="9"/>
  <c r="F12" i="9"/>
  <c r="F19" i="9"/>
  <c r="F24" i="9"/>
  <c r="F34" i="9"/>
  <c r="F18" i="9"/>
  <c r="F17" i="9"/>
  <c r="F15" i="9"/>
  <c r="F30" i="9"/>
  <c r="F44" i="9"/>
  <c r="F22" i="9"/>
  <c r="F10" i="9"/>
  <c r="F36" i="9"/>
  <c r="F16" i="9"/>
  <c r="F28" i="9"/>
  <c r="F23" i="9"/>
  <c r="F29" i="9"/>
  <c r="F45" i="9"/>
  <c r="F38" i="9"/>
  <c r="F46" i="9"/>
  <c r="F11" i="9"/>
  <c r="F33" i="9"/>
  <c r="F43" i="9"/>
  <c r="AG28" i="41"/>
  <c r="AG29" i="41"/>
  <c r="M21" i="9"/>
  <c r="M6" i="9"/>
  <c r="M6" i="41"/>
  <c r="M18" i="9"/>
  <c r="M29" i="9"/>
  <c r="M46" i="9"/>
  <c r="M24" i="9"/>
  <c r="M36" i="9"/>
  <c r="M22" i="9"/>
  <c r="M19" i="9"/>
  <c r="M17" i="9"/>
  <c r="M35" i="9"/>
  <c r="M23" i="9"/>
  <c r="M43" i="9"/>
  <c r="M10" i="9"/>
  <c r="M34" i="9"/>
  <c r="M44" i="9"/>
  <c r="M28" i="9"/>
  <c r="M33" i="9"/>
  <c r="M15" i="9"/>
  <c r="M45" i="9"/>
  <c r="M38" i="9"/>
  <c r="M27" i="9"/>
  <c r="M30" i="9"/>
  <c r="M40" i="9"/>
  <c r="M39" i="9"/>
  <c r="M16" i="9"/>
  <c r="M37" i="9"/>
  <c r="M12" i="9"/>
  <c r="M11" i="9"/>
  <c r="AA41" i="41"/>
  <c r="AA42" i="41"/>
  <c r="M32" i="9"/>
  <c r="AE14" i="9"/>
  <c r="AA21" i="9"/>
  <c r="AC29" i="41"/>
  <c r="AC28" i="41"/>
  <c r="G9" i="9"/>
  <c r="G6" i="41"/>
  <c r="G6" i="9"/>
  <c r="G38" i="9"/>
  <c r="G40" i="9"/>
  <c r="G15" i="9"/>
  <c r="G17" i="9"/>
  <c r="G11" i="9"/>
  <c r="G33" i="9"/>
  <c r="G27" i="9"/>
  <c r="G22" i="9"/>
  <c r="G44" i="9"/>
  <c r="G34" i="9"/>
  <c r="G12" i="9"/>
  <c r="G35" i="9"/>
  <c r="G43" i="9"/>
  <c r="G19" i="9"/>
  <c r="G36" i="9"/>
  <c r="G10" i="9"/>
  <c r="G30" i="9"/>
  <c r="G18" i="9"/>
  <c r="G28" i="9"/>
  <c r="G37" i="9"/>
  <c r="G46" i="9"/>
  <c r="G16" i="9"/>
  <c r="G29" i="9"/>
  <c r="G23" i="9"/>
  <c r="G39" i="9"/>
  <c r="G45" i="9"/>
  <c r="G24" i="9"/>
  <c r="M14" i="9"/>
  <c r="F21" i="9"/>
  <c r="P9" i="9"/>
  <c r="AA9" i="9"/>
  <c r="J21" i="9"/>
  <c r="AE28" i="41"/>
  <c r="AE29" i="41"/>
  <c r="S9" i="9"/>
  <c r="I9" i="9"/>
  <c r="S26" i="9"/>
  <c r="AF32" i="9"/>
  <c r="AF6" i="9"/>
  <c r="AF6" i="41"/>
  <c r="AF40" i="9"/>
  <c r="AF39" i="9"/>
  <c r="AF46" i="9"/>
  <c r="AF19" i="9"/>
  <c r="AF37" i="9"/>
  <c r="AF45" i="9"/>
  <c r="AF23" i="9"/>
  <c r="AF28" i="9"/>
  <c r="AF43" i="9"/>
  <c r="AF16" i="9"/>
  <c r="AF12" i="9"/>
  <c r="AF17" i="9"/>
  <c r="AF29" i="9"/>
  <c r="AF27" i="9"/>
  <c r="AF30" i="9"/>
  <c r="AF15" i="9"/>
  <c r="AF22" i="9"/>
  <c r="AF18" i="9"/>
  <c r="AF36" i="9"/>
  <c r="AF11" i="9"/>
  <c r="AF35" i="9"/>
  <c r="AF34" i="9"/>
  <c r="AF24" i="9"/>
  <c r="AF44" i="9"/>
  <c r="AF10" i="9"/>
  <c r="AF33" i="9"/>
  <c r="AF38" i="9"/>
  <c r="AE35" i="41"/>
  <c r="AE34" i="41"/>
  <c r="W16" i="12"/>
  <c r="W42" i="9"/>
  <c r="Z9" i="9"/>
  <c r="AF35" i="41"/>
  <c r="AF34" i="41"/>
  <c r="AG42" i="41"/>
  <c r="AG41" i="41"/>
  <c r="AB16" i="12"/>
  <c r="AA16" i="12"/>
  <c r="Z21" i="9"/>
  <c r="AE42" i="9"/>
  <c r="I21" i="9"/>
  <c r="AE32" i="9"/>
  <c r="I32" i="9"/>
  <c r="S16" i="12"/>
  <c r="J26" i="9"/>
  <c r="AA34" i="41"/>
  <c r="AA35" i="41"/>
  <c r="AC41" i="41"/>
  <c r="AC42" i="41"/>
  <c r="M26" i="9"/>
  <c r="W14" i="9"/>
  <c r="W6" i="41"/>
  <c r="W6" i="9"/>
  <c r="W24" i="9"/>
  <c r="W37" i="9"/>
  <c r="W29" i="9"/>
  <c r="W10" i="9"/>
  <c r="W34" i="9"/>
  <c r="W46" i="9"/>
  <c r="W38" i="9"/>
  <c r="W16" i="9"/>
  <c r="W33" i="9"/>
  <c r="W40" i="9"/>
  <c r="W15" i="9"/>
  <c r="W19" i="9"/>
  <c r="W30" i="9"/>
  <c r="W44" i="9"/>
  <c r="W22" i="9"/>
  <c r="W35" i="9"/>
  <c r="W11" i="9"/>
  <c r="W36" i="9"/>
  <c r="W17" i="9"/>
  <c r="W27" i="9"/>
  <c r="W28" i="9"/>
  <c r="W18" i="9"/>
  <c r="W39" i="9"/>
  <c r="W43" i="9"/>
  <c r="W23" i="9"/>
  <c r="W45" i="9"/>
  <c r="W12" i="9"/>
  <c r="AE21" i="9"/>
  <c r="J9" i="9"/>
  <c r="AA28" i="41"/>
  <c r="AA29" i="41"/>
  <c r="AG6" i="9"/>
  <c r="AG6" i="41"/>
  <c r="AG44" i="9"/>
  <c r="AG43" i="9"/>
  <c r="AG11" i="9"/>
  <c r="AG30" i="9"/>
  <c r="AG24" i="9"/>
  <c r="AG17" i="9"/>
  <c r="AG27" i="9"/>
  <c r="AG38" i="9"/>
  <c r="AG28" i="9"/>
  <c r="AG29" i="9"/>
  <c r="AG10" i="9"/>
  <c r="AG46" i="9"/>
  <c r="AG18" i="9"/>
  <c r="AG34" i="9"/>
  <c r="AG16" i="9"/>
  <c r="AG40" i="9"/>
  <c r="AG39" i="9"/>
  <c r="AG12" i="9"/>
  <c r="AG15" i="9"/>
  <c r="AG36" i="9"/>
  <c r="AG35" i="9"/>
  <c r="AG33" i="9"/>
  <c r="AG22" i="9"/>
  <c r="AG23" i="9"/>
  <c r="AG37" i="9"/>
  <c r="AG19" i="9"/>
  <c r="AG45" i="9"/>
  <c r="J16" i="12"/>
  <c r="AD42" i="41"/>
  <c r="AD41" i="41"/>
  <c r="P14" i="9"/>
  <c r="P6" i="41"/>
  <c r="P6" i="9"/>
  <c r="P27" i="9"/>
  <c r="P40" i="9"/>
  <c r="P15" i="9"/>
  <c r="P23" i="9"/>
  <c r="P16" i="9"/>
  <c r="P30" i="9"/>
  <c r="P45" i="9"/>
  <c r="P22" i="9"/>
  <c r="P18" i="9"/>
  <c r="P43" i="9"/>
  <c r="P35" i="9"/>
  <c r="P17" i="9"/>
  <c r="P12" i="9"/>
  <c r="P19" i="9"/>
  <c r="P36" i="9"/>
  <c r="P28" i="9"/>
  <c r="P33" i="9"/>
  <c r="P38" i="9"/>
  <c r="P34" i="9"/>
  <c r="P37" i="9"/>
  <c r="P11" i="9"/>
  <c r="P39" i="9"/>
  <c r="P29" i="9"/>
  <c r="P24" i="9"/>
  <c r="P44" i="9"/>
  <c r="P46" i="9"/>
  <c r="P10" i="9"/>
  <c r="AB42" i="41"/>
  <c r="AB41" i="41"/>
  <c r="AA6" i="41"/>
  <c r="AA6" i="9"/>
  <c r="AA15" i="9"/>
  <c r="AA46" i="9"/>
  <c r="AA22" i="9"/>
  <c r="AA34" i="9"/>
  <c r="AA27" i="9"/>
  <c r="AA19" i="9"/>
  <c r="AA28" i="9"/>
  <c r="AA37" i="9"/>
  <c r="AA36" i="9"/>
  <c r="AA39" i="9"/>
  <c r="AA23" i="9"/>
  <c r="AA16" i="9"/>
  <c r="AA18" i="9"/>
  <c r="AA33" i="9"/>
  <c r="AA30" i="9"/>
  <c r="AA43" i="9"/>
  <c r="AA10" i="9"/>
  <c r="AA24" i="9"/>
  <c r="AA38" i="9"/>
  <c r="AA12" i="9"/>
  <c r="AA11" i="9"/>
  <c r="AA35" i="9"/>
  <c r="AA40" i="9"/>
  <c r="AA17" i="9"/>
  <c r="AA45" i="9"/>
  <c r="AA29" i="9"/>
  <c r="AA44" i="9"/>
  <c r="J42" i="9"/>
  <c r="I42" i="9"/>
  <c r="I6" i="41"/>
  <c r="I6" i="9"/>
  <c r="I38" i="9"/>
  <c r="I33" i="9"/>
  <c r="I28" i="9"/>
  <c r="I35" i="9"/>
  <c r="I19" i="9"/>
  <c r="I22" i="9"/>
  <c r="I46" i="9"/>
  <c r="I45" i="9"/>
  <c r="I12" i="9"/>
  <c r="I16" i="9"/>
  <c r="I23" i="9"/>
  <c r="I18" i="9"/>
  <c r="I36" i="9"/>
  <c r="I17" i="9"/>
  <c r="I29" i="9"/>
  <c r="I27" i="9"/>
  <c r="I37" i="9"/>
  <c r="I11" i="9"/>
  <c r="I34" i="9"/>
  <c r="I43" i="9"/>
  <c r="I24" i="9"/>
  <c r="I10" i="9"/>
  <c r="I15" i="9"/>
  <c r="I30" i="9"/>
  <c r="I39" i="9"/>
  <c r="I40" i="9"/>
  <c r="I44" i="9"/>
  <c r="Y21" i="9"/>
  <c r="Y6" i="9"/>
  <c r="Y6" i="41"/>
  <c r="Y24" i="9"/>
  <c r="Y35" i="9"/>
  <c r="Y30" i="9"/>
  <c r="Y19" i="9"/>
  <c r="Y37" i="9"/>
  <c r="Y18" i="9"/>
  <c r="Y36" i="9"/>
  <c r="Y23" i="9"/>
  <c r="Y44" i="9"/>
  <c r="Y22" i="9"/>
  <c r="Y11" i="9"/>
  <c r="Y43" i="9"/>
  <c r="Y33" i="9"/>
  <c r="Y10" i="9"/>
  <c r="Y34" i="9"/>
  <c r="Y39" i="9"/>
  <c r="Y15" i="9"/>
  <c r="Y27" i="9"/>
  <c r="Y38" i="9"/>
  <c r="Y40" i="9"/>
  <c r="Y12" i="9"/>
  <c r="Y29" i="9"/>
  <c r="Y17" i="9"/>
  <c r="Y28" i="9"/>
  <c r="Y45" i="9"/>
  <c r="Y16" i="9"/>
  <c r="Y46" i="9"/>
  <c r="L16" i="12"/>
  <c r="AB6" i="41"/>
  <c r="AB6" i="9"/>
  <c r="AB43" i="9"/>
  <c r="AB34" i="9"/>
  <c r="AB30" i="9"/>
  <c r="AB35" i="9"/>
  <c r="AB45" i="9"/>
  <c r="AB36" i="9"/>
  <c r="AB24" i="9"/>
  <c r="AB46" i="9"/>
  <c r="AB27" i="9"/>
  <c r="AB15" i="9"/>
  <c r="AB12" i="9"/>
  <c r="AB39" i="9"/>
  <c r="AB19" i="9"/>
  <c r="AB37" i="9"/>
  <c r="AB38" i="9"/>
  <c r="AB33" i="9"/>
  <c r="AB10" i="9"/>
  <c r="AB18" i="9"/>
  <c r="AB44" i="9"/>
  <c r="AB28" i="9"/>
  <c r="AB17" i="9"/>
  <c r="AB22" i="9"/>
  <c r="AB23" i="9"/>
  <c r="AB11" i="9"/>
  <c r="AB29" i="9"/>
  <c r="AB16" i="9"/>
  <c r="AB40" i="9"/>
  <c r="P16" i="12"/>
  <c r="AA26" i="9"/>
  <c r="AE9" i="9"/>
  <c r="J14" i="9"/>
  <c r="AE16" i="12"/>
  <c r="H16" i="12"/>
  <c r="W32" i="9"/>
  <c r="Y14" i="9"/>
  <c r="AF9" i="9"/>
  <c r="F26" i="9"/>
  <c r="P26" i="9"/>
  <c r="AF21" i="9"/>
  <c r="X16" i="12"/>
  <c r="AB21" i="9"/>
  <c r="Z14" i="9"/>
  <c r="M42" i="9"/>
  <c r="AA42" i="9"/>
  <c r="S6" i="9"/>
  <c r="S6" i="41"/>
  <c r="S46" i="9"/>
  <c r="S45" i="9"/>
  <c r="S30" i="9"/>
  <c r="S28" i="9"/>
  <c r="S37" i="9"/>
  <c r="S40" i="9"/>
  <c r="S44" i="9"/>
  <c r="S39" i="9"/>
  <c r="S27" i="9"/>
  <c r="S38" i="9"/>
  <c r="S29" i="9"/>
  <c r="S23" i="9"/>
  <c r="S43" i="9"/>
  <c r="S16" i="9"/>
  <c r="S24" i="9"/>
  <c r="S10" i="9"/>
  <c r="S36" i="9"/>
  <c r="S35" i="9"/>
  <c r="S17" i="9"/>
  <c r="S22" i="9"/>
  <c r="S15" i="9"/>
  <c r="S12" i="9"/>
  <c r="S33" i="9"/>
  <c r="S11" i="9"/>
  <c r="S19" i="9"/>
  <c r="S34" i="9"/>
  <c r="S18" i="9"/>
  <c r="Y42" i="9"/>
  <c r="M9" i="9"/>
  <c r="Y32" i="9"/>
  <c r="AF29" i="41"/>
  <c r="AF28" i="41"/>
  <c r="S42" i="9"/>
  <c r="Z26" i="9"/>
  <c r="O14" i="9"/>
  <c r="O6" i="9"/>
  <c r="O6" i="41"/>
  <c r="O18" i="9"/>
  <c r="O22" i="9"/>
  <c r="O27" i="9"/>
  <c r="O17" i="9"/>
  <c r="O39" i="9"/>
  <c r="O15" i="9"/>
  <c r="O45" i="9"/>
  <c r="O37" i="9"/>
  <c r="O23" i="9"/>
  <c r="O34" i="9"/>
  <c r="O38" i="9"/>
  <c r="O29" i="9"/>
  <c r="O19" i="9"/>
  <c r="O46" i="9"/>
  <c r="O10" i="9"/>
  <c r="O28" i="9"/>
  <c r="O30" i="9"/>
  <c r="O24" i="9"/>
  <c r="O11" i="9"/>
  <c r="O35" i="9"/>
  <c r="O16" i="9"/>
  <c r="O43" i="9"/>
  <c r="O40" i="9"/>
  <c r="O12" i="9"/>
  <c r="O36" i="9"/>
  <c r="O33" i="9"/>
  <c r="O44" i="9"/>
  <c r="L42" i="9"/>
  <c r="L6" i="9"/>
  <c r="L6" i="41"/>
  <c r="L44" i="9"/>
  <c r="L39" i="9"/>
  <c r="L15" i="9"/>
  <c r="L11" i="9"/>
  <c r="L12" i="9"/>
  <c r="L29" i="9"/>
  <c r="L46" i="9"/>
  <c r="L38" i="9"/>
  <c r="L45" i="9"/>
  <c r="L28" i="9"/>
  <c r="L23" i="9"/>
  <c r="L24" i="9"/>
  <c r="L18" i="9"/>
  <c r="L37" i="9"/>
  <c r="L33" i="9"/>
  <c r="L19" i="9"/>
  <c r="L30" i="9"/>
  <c r="L17" i="9"/>
  <c r="L36" i="9"/>
  <c r="L27" i="9"/>
  <c r="L35" i="9"/>
  <c r="L34" i="9"/>
  <c r="L16" i="9"/>
  <c r="L10" i="9"/>
  <c r="L40" i="9"/>
  <c r="L22" i="9"/>
  <c r="L43" i="9"/>
  <c r="AB28" i="41"/>
  <c r="AB29" i="41"/>
  <c r="AQ167" i="14" l="1"/>
  <c r="AQ155" i="14" s="1"/>
  <c r="AQ131" i="14" s="1"/>
  <c r="AQ107" i="14" s="1"/>
  <c r="AQ83" i="14" s="1"/>
  <c r="AQ59" i="14" s="1"/>
  <c r="AQ22" i="14" s="1"/>
  <c r="AP167" i="14"/>
  <c r="AP155" i="14" s="1"/>
  <c r="AP131" i="14" s="1"/>
  <c r="AP107" i="14" s="1"/>
  <c r="AP83" i="14" s="1"/>
  <c r="AP22" i="14" s="1"/>
  <c r="AN167" i="14"/>
  <c r="AN155" i="14" s="1"/>
  <c r="AN131" i="14" s="1"/>
  <c r="AN22" i="14" s="1"/>
  <c r="AO167" i="14"/>
  <c r="AO155" i="14" s="1"/>
  <c r="AO131" i="14" s="1"/>
  <c r="AO107" i="14" s="1"/>
  <c r="AO22" i="14" s="1"/>
  <c r="AM167" i="14"/>
  <c r="AM155" i="14" s="1"/>
  <c r="AM22" i="14" s="1"/>
  <c r="AR167" i="14"/>
  <c r="AR155" i="14" s="1"/>
  <c r="AR131" i="14" s="1"/>
  <c r="AR107" i="14" s="1"/>
  <c r="AR83" i="14" s="1"/>
  <c r="AR59" i="14" s="1"/>
  <c r="AR22" i="14" s="1"/>
  <c r="AM175" i="14"/>
  <c r="AM163" i="14" s="1"/>
  <c r="AN175" i="14"/>
  <c r="AN163" i="14" s="1"/>
  <c r="AN139" i="14" s="1"/>
  <c r="AQ175" i="14"/>
  <c r="AQ163" i="14" s="1"/>
  <c r="AQ139" i="14" s="1"/>
  <c r="AQ115" i="14" s="1"/>
  <c r="AQ91" i="14" s="1"/>
  <c r="AQ67" i="14" s="1"/>
  <c r="AO175" i="14"/>
  <c r="AO163" i="14" s="1"/>
  <c r="AO139" i="14" s="1"/>
  <c r="AO115" i="14" s="1"/>
  <c r="AP175" i="14"/>
  <c r="AP163" i="14" s="1"/>
  <c r="AP139" i="14" s="1"/>
  <c r="AP115" i="14" s="1"/>
  <c r="AP91" i="14" s="1"/>
  <c r="AR175" i="14"/>
  <c r="AR163" i="14" s="1"/>
  <c r="AR139" i="14" s="1"/>
  <c r="AR115" i="14" s="1"/>
  <c r="AR91" i="14" s="1"/>
  <c r="AR67" i="14" s="1"/>
  <c r="AQ171" i="14"/>
  <c r="AQ159" i="14" s="1"/>
  <c r="AQ135" i="14" s="1"/>
  <c r="AQ111" i="14" s="1"/>
  <c r="AQ87" i="14" s="1"/>
  <c r="AQ63" i="14" s="1"/>
  <c r="AQ26" i="14" s="1"/>
  <c r="AN171" i="14"/>
  <c r="AN159" i="14" s="1"/>
  <c r="AN135" i="14" s="1"/>
  <c r="AN26" i="14" s="1"/>
  <c r="AP171" i="14"/>
  <c r="AP159" i="14" s="1"/>
  <c r="AP135" i="14" s="1"/>
  <c r="AP111" i="14" s="1"/>
  <c r="AP87" i="14" s="1"/>
  <c r="AP26" i="14" s="1"/>
  <c r="AR171" i="14"/>
  <c r="AR159" i="14" s="1"/>
  <c r="AR135" i="14" s="1"/>
  <c r="AR111" i="14" s="1"/>
  <c r="AR87" i="14" s="1"/>
  <c r="AR63" i="14" s="1"/>
  <c r="AR26" i="14" s="1"/>
  <c r="AO171" i="14"/>
  <c r="AO159" i="14" s="1"/>
  <c r="AO135" i="14" s="1"/>
  <c r="AO111" i="14" s="1"/>
  <c r="AO26" i="14" s="1"/>
  <c r="AM172" i="14"/>
  <c r="AM160" i="14" s="1"/>
  <c r="AM173" i="14"/>
  <c r="AM161" i="14" s="1"/>
  <c r="AM28" i="14" s="1"/>
  <c r="AP173" i="14"/>
  <c r="AP161" i="14" s="1"/>
  <c r="AP137" i="14" s="1"/>
  <c r="AP113" i="14" s="1"/>
  <c r="AP89" i="14" s="1"/>
  <c r="AP28" i="14" s="1"/>
  <c r="AN172" i="14"/>
  <c r="AN160" i="14" s="1"/>
  <c r="AQ172" i="14"/>
  <c r="AQ160" i="14" s="1"/>
  <c r="AP172" i="14"/>
  <c r="AP160" i="14" s="1"/>
  <c r="AR172" i="14"/>
  <c r="AR160" i="14" s="1"/>
  <c r="AR173" i="14"/>
  <c r="AR161" i="14" s="1"/>
  <c r="AR137" i="14" s="1"/>
  <c r="AR113" i="14" s="1"/>
  <c r="AR89" i="14" s="1"/>
  <c r="AR65" i="14" s="1"/>
  <c r="AR28" i="14" s="1"/>
  <c r="AN169" i="14"/>
  <c r="AN157" i="14" s="1"/>
  <c r="AN133" i="14" s="1"/>
  <c r="AN24" i="14" s="1"/>
  <c r="AO169" i="14"/>
  <c r="AO157" i="14" s="1"/>
  <c r="AO133" i="14" s="1"/>
  <c r="AO109" i="14" s="1"/>
  <c r="AO24" i="14" s="1"/>
  <c r="AQ173" i="14"/>
  <c r="AQ161" i="14" s="1"/>
  <c r="AQ137" i="14" s="1"/>
  <c r="AQ113" i="14" s="1"/>
  <c r="AQ89" i="14" s="1"/>
  <c r="AQ65" i="14" s="1"/>
  <c r="AQ28" i="14" s="1"/>
  <c r="AN173" i="14"/>
  <c r="AN161" i="14" s="1"/>
  <c r="AN137" i="14" s="1"/>
  <c r="AN28" i="14" s="1"/>
  <c r="AM169" i="14"/>
  <c r="AM157" i="14" s="1"/>
  <c r="AM24" i="14" s="1"/>
  <c r="AN170" i="14"/>
  <c r="AN158" i="14" s="1"/>
  <c r="AN134" i="14" s="1"/>
  <c r="AN25" i="14" s="1"/>
  <c r="AR170" i="14"/>
  <c r="AR158" i="14" s="1"/>
  <c r="AR134" i="14" s="1"/>
  <c r="AR110" i="14" s="1"/>
  <c r="AR86" i="14" s="1"/>
  <c r="AR62" i="14" s="1"/>
  <c r="AR25" i="14" s="1"/>
  <c r="AP169" i="14"/>
  <c r="AP157" i="14" s="1"/>
  <c r="AP133" i="14" s="1"/>
  <c r="AP109" i="14" s="1"/>
  <c r="AP85" i="14" s="1"/>
  <c r="AP24" i="14" s="1"/>
  <c r="AO170" i="14"/>
  <c r="AO158" i="14" s="1"/>
  <c r="AO134" i="14" s="1"/>
  <c r="AO110" i="14" s="1"/>
  <c r="AO25" i="14" s="1"/>
  <c r="AQ169" i="14"/>
  <c r="AQ157" i="14" s="1"/>
  <c r="AQ133" i="14" s="1"/>
  <c r="AQ109" i="14" s="1"/>
  <c r="AQ85" i="14" s="1"/>
  <c r="AQ61" i="14" s="1"/>
  <c r="AQ24" i="14" s="1"/>
  <c r="AP170" i="14"/>
  <c r="AP158" i="14" s="1"/>
  <c r="AP134" i="14" s="1"/>
  <c r="AP110" i="14" s="1"/>
  <c r="AP86" i="14" s="1"/>
  <c r="AP25" i="14" s="1"/>
  <c r="AQ170" i="14"/>
  <c r="AQ158" i="14" s="1"/>
  <c r="AQ134" i="14" s="1"/>
  <c r="AQ110" i="14" s="1"/>
  <c r="AQ86" i="14" s="1"/>
  <c r="AQ62" i="14" s="1"/>
  <c r="AQ25" i="14" s="1"/>
  <c r="V7" i="10"/>
  <c r="AE7" i="10"/>
  <c r="M7" i="10"/>
  <c r="Z7" i="10"/>
  <c r="W7" i="10"/>
  <c r="T7" i="10"/>
  <c r="AM158" i="14"/>
  <c r="AM25" i="14" s="1"/>
  <c r="AO113" i="14"/>
  <c r="AO28" i="14" s="1"/>
  <c r="AM159" i="14"/>
  <c r="AM26" i="14" s="1"/>
  <c r="D32" i="9"/>
  <c r="AL6" i="10"/>
  <c r="AK6" i="10"/>
  <c r="AK7" i="10"/>
  <c r="AL7" i="10"/>
  <c r="F16" i="44"/>
  <c r="V21" i="9"/>
  <c r="K7" i="10"/>
  <c r="D7" i="10"/>
  <c r="AA7" i="10"/>
  <c r="O7" i="10"/>
  <c r="I7" i="10"/>
  <c r="Y7" i="10"/>
  <c r="J7" i="10"/>
  <c r="L7" i="10"/>
  <c r="E7" i="10"/>
  <c r="R7" i="10"/>
  <c r="G7" i="10"/>
  <c r="AG7" i="10"/>
  <c r="H7" i="10"/>
  <c r="AC7" i="10"/>
  <c r="Q7" i="10"/>
  <c r="N7" i="10"/>
  <c r="S7" i="10"/>
  <c r="AB7" i="10"/>
  <c r="AI7" i="10"/>
  <c r="AF7" i="10"/>
  <c r="U7" i="10"/>
  <c r="AH7" i="10"/>
  <c r="X7" i="10"/>
  <c r="AD7" i="10"/>
  <c r="AD22" i="9"/>
  <c r="AD38" i="9"/>
  <c r="V17" i="9"/>
  <c r="V33" i="9"/>
  <c r="F7" i="10"/>
  <c r="V15" i="9"/>
  <c r="V12" i="9"/>
  <c r="V42" i="9"/>
  <c r="AD35" i="41"/>
  <c r="D16" i="9"/>
  <c r="N9" i="9"/>
  <c r="T43" i="9"/>
  <c r="Q30" i="9"/>
  <c r="Q6" i="41"/>
  <c r="Q29" i="9"/>
  <c r="Q11" i="9"/>
  <c r="T17" i="9"/>
  <c r="Q9" i="9"/>
  <c r="Q44" i="9"/>
  <c r="Q28" i="9"/>
  <c r="Q23" i="9"/>
  <c r="Q24" i="9"/>
  <c r="D6" i="9"/>
  <c r="AD24" i="9"/>
  <c r="AD42" i="9"/>
  <c r="AD28" i="9"/>
  <c r="D44" i="9"/>
  <c r="O6" i="10"/>
  <c r="AD17" i="9"/>
  <c r="D38" i="9"/>
  <c r="S6" i="10"/>
  <c r="AD6" i="9"/>
  <c r="D29" i="9"/>
  <c r="D10" i="9"/>
  <c r="N10" i="9"/>
  <c r="AD21" i="9"/>
  <c r="AD39" i="9"/>
  <c r="AA6" i="10"/>
  <c r="D17" i="9"/>
  <c r="N12" i="9"/>
  <c r="AD18" i="9"/>
  <c r="D11" i="9"/>
  <c r="I6" i="10"/>
  <c r="AI6" i="10"/>
  <c r="AD16" i="9"/>
  <c r="AD12" i="9"/>
  <c r="D6" i="41"/>
  <c r="AD34" i="9"/>
  <c r="V27" i="9"/>
  <c r="V45" i="9"/>
  <c r="Q14" i="9"/>
  <c r="Q17" i="9"/>
  <c r="Q15" i="9"/>
  <c r="Q40" i="9"/>
  <c r="Q6" i="9"/>
  <c r="N26" i="9"/>
  <c r="T42" i="9"/>
  <c r="N34" i="9"/>
  <c r="T24" i="9"/>
  <c r="Q26" i="9"/>
  <c r="Q21" i="9"/>
  <c r="V10" i="9"/>
  <c r="V35" i="9"/>
  <c r="Q45" i="9"/>
  <c r="Q12" i="9"/>
  <c r="Q35" i="9"/>
  <c r="N44" i="9"/>
  <c r="N6" i="10"/>
  <c r="T19" i="9"/>
  <c r="Q16" i="9"/>
  <c r="Q46" i="9"/>
  <c r="Q43" i="9"/>
  <c r="N15" i="9"/>
  <c r="T44" i="9"/>
  <c r="V18" i="9"/>
  <c r="V19" i="9"/>
  <c r="T14" i="9"/>
  <c r="V29" i="9"/>
  <c r="AJ39" i="9"/>
  <c r="Q33" i="9"/>
  <c r="Q27" i="9"/>
  <c r="Q34" i="9"/>
  <c r="N30" i="9"/>
  <c r="T45" i="9"/>
  <c r="Q42" i="9"/>
  <c r="V28" i="9"/>
  <c r="Q39" i="9"/>
  <c r="Q22" i="9"/>
  <c r="Q36" i="9"/>
  <c r="Q19" i="9"/>
  <c r="N19" i="9"/>
  <c r="T36" i="9"/>
  <c r="V39" i="9"/>
  <c r="V11" i="9"/>
  <c r="Q38" i="9"/>
  <c r="Q18" i="9"/>
  <c r="Q10" i="9"/>
  <c r="Q37" i="9"/>
  <c r="N39" i="9"/>
  <c r="T27" i="9"/>
  <c r="AD19" i="9"/>
  <c r="AD30" i="9"/>
  <c r="AD36" i="9"/>
  <c r="AD26" i="9"/>
  <c r="AD23" i="9"/>
  <c r="AD11" i="9"/>
  <c r="AD40" i="9"/>
  <c r="AD37" i="9"/>
  <c r="AD14" i="9"/>
  <c r="AD44" i="9"/>
  <c r="AD10" i="9"/>
  <c r="AD43" i="9"/>
  <c r="AD35" i="9"/>
  <c r="AD45" i="9"/>
  <c r="AD46" i="9"/>
  <c r="AD33" i="9"/>
  <c r="AD29" i="9"/>
  <c r="AD6" i="41"/>
  <c r="AD27" i="9"/>
  <c r="AD15" i="9"/>
  <c r="AD32" i="9"/>
  <c r="D15" i="9"/>
  <c r="D36" i="9"/>
  <c r="N33" i="9"/>
  <c r="N36" i="9"/>
  <c r="T30" i="9"/>
  <c r="T6" i="10"/>
  <c r="AB6" i="10"/>
  <c r="D26" i="9"/>
  <c r="T32" i="9"/>
  <c r="D28" i="9"/>
  <c r="D23" i="9"/>
  <c r="N14" i="9"/>
  <c r="N23" i="9"/>
  <c r="N38" i="9"/>
  <c r="T33" i="9"/>
  <c r="T6" i="41"/>
  <c r="J6" i="10"/>
  <c r="D24" i="9"/>
  <c r="D37" i="9"/>
  <c r="T21" i="9"/>
  <c r="M6" i="10"/>
  <c r="N24" i="9"/>
  <c r="N29" i="9"/>
  <c r="T23" i="9"/>
  <c r="T40" i="9"/>
  <c r="T9" i="9"/>
  <c r="D42" i="9"/>
  <c r="P6" i="10"/>
  <c r="D18" i="9"/>
  <c r="D45" i="9"/>
  <c r="D6" i="10"/>
  <c r="N16" i="9"/>
  <c r="N45" i="9"/>
  <c r="N18" i="9"/>
  <c r="T39" i="9"/>
  <c r="T18" i="9"/>
  <c r="Z6" i="10"/>
  <c r="D9" i="9"/>
  <c r="L6" i="10"/>
  <c r="D27" i="9"/>
  <c r="N28" i="9"/>
  <c r="N35" i="9"/>
  <c r="N27" i="9"/>
  <c r="T34" i="9"/>
  <c r="T35" i="9"/>
  <c r="N42" i="9"/>
  <c r="D19" i="9"/>
  <c r="Y6" i="10"/>
  <c r="AD6" i="10"/>
  <c r="AG6" i="10"/>
  <c r="W6" i="10"/>
  <c r="AF6" i="10"/>
  <c r="D12" i="9"/>
  <c r="D39" i="9"/>
  <c r="N11" i="9"/>
  <c r="N37" i="9"/>
  <c r="N17" i="9"/>
  <c r="T16" i="9"/>
  <c r="T10" i="9"/>
  <c r="AE6" i="10"/>
  <c r="N32" i="9"/>
  <c r="D22" i="9"/>
  <c r="D30" i="9"/>
  <c r="G6" i="10"/>
  <c r="N46" i="9"/>
  <c r="N43" i="9"/>
  <c r="N6" i="41"/>
  <c r="T29" i="9"/>
  <c r="T11" i="9"/>
  <c r="Q6" i="10"/>
  <c r="D35" i="9"/>
  <c r="D40" i="9"/>
  <c r="F6" i="10"/>
  <c r="N40" i="9"/>
  <c r="N22" i="9"/>
  <c r="N6" i="9"/>
  <c r="T37" i="9"/>
  <c r="T28" i="9"/>
  <c r="D21" i="9"/>
  <c r="D14" i="9"/>
  <c r="D43" i="9"/>
  <c r="D33" i="9"/>
  <c r="AH6" i="10"/>
  <c r="T46" i="9"/>
  <c r="T38" i="9"/>
  <c r="T12" i="9"/>
  <c r="D46" i="9"/>
  <c r="D34" i="9"/>
  <c r="T15" i="9"/>
  <c r="T22" i="9"/>
  <c r="T6" i="9"/>
  <c r="V37" i="9"/>
  <c r="V46" i="9"/>
  <c r="V38" i="9"/>
  <c r="V6" i="10"/>
  <c r="V26" i="9"/>
  <c r="V24" i="9"/>
  <c r="V43" i="9"/>
  <c r="V16" i="9"/>
  <c r="V34" i="9"/>
  <c r="V6" i="9"/>
  <c r="V22" i="9"/>
  <c r="V40" i="9"/>
  <c r="V6" i="41"/>
  <c r="V14" i="9"/>
  <c r="V9" i="9"/>
  <c r="V36" i="9"/>
  <c r="V23" i="9"/>
  <c r="V30" i="9"/>
  <c r="V44" i="9"/>
  <c r="AJ21" i="9"/>
  <c r="AJ22" i="9"/>
  <c r="AJ26" i="9"/>
  <c r="AJ32" i="9"/>
  <c r="AJ38" i="9"/>
  <c r="AJ24" i="9"/>
  <c r="AJ34" i="9"/>
  <c r="AJ16" i="9"/>
  <c r="AJ46" i="9"/>
  <c r="AJ27" i="9"/>
  <c r="AJ30" i="9"/>
  <c r="AJ37" i="9"/>
  <c r="AJ6" i="9"/>
  <c r="AJ6" i="41"/>
  <c r="AJ34" i="41"/>
  <c r="AJ35" i="41"/>
  <c r="AJ7" i="10"/>
  <c r="AC42" i="9"/>
  <c r="AC37" i="9"/>
  <c r="AC6" i="41"/>
  <c r="AJ33" i="9"/>
  <c r="AJ11" i="9"/>
  <c r="AJ6" i="10"/>
  <c r="AJ15" i="9"/>
  <c r="AJ36" i="9"/>
  <c r="AJ9" i="9"/>
  <c r="AJ19" i="9"/>
  <c r="AJ35" i="9"/>
  <c r="AJ17" i="9"/>
  <c r="AJ18" i="9"/>
  <c r="AJ14" i="9"/>
  <c r="AJ12" i="9"/>
  <c r="AJ45" i="9"/>
  <c r="AJ28" i="9"/>
  <c r="AJ43" i="9"/>
  <c r="AJ42" i="9"/>
  <c r="AJ29" i="9"/>
  <c r="AJ10" i="9"/>
  <c r="AJ23" i="9"/>
  <c r="AJ44" i="9"/>
  <c r="AC46" i="9"/>
  <c r="AC10" i="9"/>
  <c r="AC32" i="9"/>
  <c r="AC14" i="9"/>
  <c r="H22" i="9"/>
  <c r="AC15" i="9"/>
  <c r="H19" i="9"/>
  <c r="AC19" i="9"/>
  <c r="H24" i="9"/>
  <c r="AC18" i="9"/>
  <c r="H44" i="9"/>
  <c r="AC33" i="9"/>
  <c r="AC36" i="9"/>
  <c r="AC29" i="9"/>
  <c r="AC45" i="9"/>
  <c r="AC40" i="9"/>
  <c r="AC35" i="9"/>
  <c r="AC16" i="9"/>
  <c r="AC27" i="9"/>
  <c r="AC28" i="9"/>
  <c r="AC17" i="9"/>
  <c r="AC23" i="9"/>
  <c r="AC26" i="9"/>
  <c r="AC9" i="9"/>
  <c r="AC44" i="9"/>
  <c r="AC34" i="9"/>
  <c r="AC39" i="9"/>
  <c r="AC24" i="9"/>
  <c r="AC22" i="9"/>
  <c r="AC11" i="9"/>
  <c r="AC30" i="9"/>
  <c r="AC38" i="9"/>
  <c r="AC6" i="10"/>
  <c r="AC12" i="9"/>
  <c r="AC43" i="9"/>
  <c r="AC6" i="9"/>
  <c r="AC35" i="41"/>
  <c r="E19" i="9"/>
  <c r="R26" i="9"/>
  <c r="H37" i="9"/>
  <c r="H39" i="9"/>
  <c r="H9" i="9"/>
  <c r="H18" i="9"/>
  <c r="H15" i="9"/>
  <c r="X44" i="9"/>
  <c r="H43" i="9"/>
  <c r="H33" i="9"/>
  <c r="H35" i="9"/>
  <c r="H6" i="10"/>
  <c r="U37" i="9"/>
  <c r="H36" i="9"/>
  <c r="H46" i="9"/>
  <c r="H28" i="9"/>
  <c r="H6" i="9"/>
  <c r="H14" i="9"/>
  <c r="U28" i="9"/>
  <c r="U11" i="9"/>
  <c r="U6" i="41"/>
  <c r="X30" i="9"/>
  <c r="U21" i="9"/>
  <c r="U27" i="9"/>
  <c r="R27" i="9"/>
  <c r="U39" i="9"/>
  <c r="U45" i="9"/>
  <c r="R23" i="9"/>
  <c r="U36" i="9"/>
  <c r="U29" i="9"/>
  <c r="U6" i="9"/>
  <c r="X36" i="9"/>
  <c r="X26" i="9"/>
  <c r="U34" i="9"/>
  <c r="U12" i="9"/>
  <c r="X43" i="9"/>
  <c r="U44" i="9"/>
  <c r="U35" i="9"/>
  <c r="U40" i="9"/>
  <c r="U24" i="9"/>
  <c r="U46" i="9"/>
  <c r="U19" i="9"/>
  <c r="U10" i="9"/>
  <c r="U6" i="10"/>
  <c r="K23" i="9"/>
  <c r="H27" i="9"/>
  <c r="H45" i="9"/>
  <c r="H10" i="9"/>
  <c r="H11" i="9"/>
  <c r="H12" i="9"/>
  <c r="H38" i="9"/>
  <c r="H29" i="9"/>
  <c r="H21" i="9"/>
  <c r="X46" i="9"/>
  <c r="R12" i="9"/>
  <c r="R44" i="9"/>
  <c r="H32" i="9"/>
  <c r="X21" i="9"/>
  <c r="U42" i="9"/>
  <c r="U32" i="9"/>
  <c r="U15" i="9"/>
  <c r="U33" i="9"/>
  <c r="U18" i="9"/>
  <c r="R9" i="9"/>
  <c r="R10" i="9"/>
  <c r="R6" i="9"/>
  <c r="U14" i="9"/>
  <c r="U38" i="9"/>
  <c r="U16" i="9"/>
  <c r="U30" i="9"/>
  <c r="U23" i="9"/>
  <c r="U43" i="9"/>
  <c r="U17" i="9"/>
  <c r="U22" i="9"/>
  <c r="U9" i="9"/>
  <c r="H16" i="9"/>
  <c r="H34" i="9"/>
  <c r="H30" i="9"/>
  <c r="H40" i="9"/>
  <c r="H23" i="9"/>
  <c r="H17" i="9"/>
  <c r="H6" i="41"/>
  <c r="X34" i="9"/>
  <c r="X35" i="9"/>
  <c r="R24" i="9"/>
  <c r="R36" i="9"/>
  <c r="H26" i="9"/>
  <c r="E18" i="9"/>
  <c r="E37" i="9"/>
  <c r="E30" i="9"/>
  <c r="E46" i="9"/>
  <c r="E22" i="9"/>
  <c r="E6" i="10"/>
  <c r="K12" i="9"/>
  <c r="AG34" i="41"/>
  <c r="X15" i="9"/>
  <c r="X17" i="9"/>
  <c r="X45" i="9"/>
  <c r="X39" i="9"/>
  <c r="X12" i="9"/>
  <c r="X27" i="9"/>
  <c r="X6" i="10"/>
  <c r="R29" i="9"/>
  <c r="R16" i="9"/>
  <c r="R22" i="9"/>
  <c r="R34" i="9"/>
  <c r="R15" i="9"/>
  <c r="R30" i="9"/>
  <c r="R38" i="9"/>
  <c r="R6" i="41"/>
  <c r="R21" i="9"/>
  <c r="K33" i="9"/>
  <c r="X24" i="9"/>
  <c r="X11" i="9"/>
  <c r="X33" i="9"/>
  <c r="X18" i="9"/>
  <c r="X23" i="9"/>
  <c r="X19" i="9"/>
  <c r="X40" i="9"/>
  <c r="X6" i="41"/>
  <c r="R40" i="9"/>
  <c r="R18" i="9"/>
  <c r="R17" i="9"/>
  <c r="R28" i="9"/>
  <c r="R43" i="9"/>
  <c r="R46" i="9"/>
  <c r="R19" i="9"/>
  <c r="R42" i="9"/>
  <c r="X14" i="9"/>
  <c r="R32" i="9"/>
  <c r="K39" i="9"/>
  <c r="X16" i="9"/>
  <c r="X10" i="9"/>
  <c r="X38" i="9"/>
  <c r="X29" i="9"/>
  <c r="X28" i="9"/>
  <c r="X22" i="9"/>
  <c r="X37" i="9"/>
  <c r="X6" i="9"/>
  <c r="R39" i="9"/>
  <c r="R35" i="9"/>
  <c r="R11" i="9"/>
  <c r="R45" i="9"/>
  <c r="R33" i="9"/>
  <c r="R37" i="9"/>
  <c r="R6" i="10"/>
  <c r="X42" i="9"/>
  <c r="X9" i="9"/>
  <c r="E36" i="9"/>
  <c r="E28" i="9"/>
  <c r="E35" i="9"/>
  <c r="E12" i="9"/>
  <c r="E15" i="9"/>
  <c r="E27" i="9"/>
  <c r="E40" i="9"/>
  <c r="E6" i="9"/>
  <c r="E32" i="9"/>
  <c r="E26" i="9"/>
  <c r="E23" i="9"/>
  <c r="E16" i="9"/>
  <c r="E43" i="9"/>
  <c r="E34" i="9"/>
  <c r="E39" i="9"/>
  <c r="E33" i="9"/>
  <c r="E11" i="9"/>
  <c r="E6" i="41"/>
  <c r="E44" i="9"/>
  <c r="E29" i="9"/>
  <c r="E24" i="9"/>
  <c r="E17" i="9"/>
  <c r="E10" i="9"/>
  <c r="E38" i="9"/>
  <c r="E45" i="9"/>
  <c r="E21" i="9"/>
  <c r="E42" i="9"/>
  <c r="E14" i="9"/>
  <c r="K18" i="9"/>
  <c r="K6" i="9"/>
  <c r="K10" i="9"/>
  <c r="K36" i="9"/>
  <c r="K42" i="9"/>
  <c r="K35" i="9"/>
  <c r="K17" i="9"/>
  <c r="K16" i="9"/>
  <c r="K30" i="9"/>
  <c r="K46" i="9"/>
  <c r="K43" i="9"/>
  <c r="K15" i="9"/>
  <c r="K6" i="41"/>
  <c r="K38" i="9"/>
  <c r="K29" i="9"/>
  <c r="K34" i="9"/>
  <c r="K22" i="9"/>
  <c r="K11" i="9"/>
  <c r="K37" i="9"/>
  <c r="K19" i="9"/>
  <c r="K9" i="9"/>
  <c r="K14" i="9"/>
  <c r="K21" i="9"/>
  <c r="K28" i="9"/>
  <c r="K27" i="9"/>
  <c r="K45" i="9"/>
  <c r="K40" i="9"/>
  <c r="K44" i="9"/>
  <c r="K24" i="9"/>
  <c r="K6" i="10"/>
  <c r="K32" i="9"/>
  <c r="AS17" i="12"/>
  <c r="AR17" i="21"/>
  <c r="AM148" i="14" l="1"/>
  <c r="AR148" i="14" s="1"/>
  <c r="AR136" i="14" s="1"/>
  <c r="AM27" i="14"/>
  <c r="AM21" i="31" s="1"/>
  <c r="AK17" i="33"/>
  <c r="AM17" i="27"/>
  <c r="AP17" i="33"/>
  <c r="AQ17" i="27"/>
  <c r="AQ17" i="33"/>
  <c r="AP17" i="27"/>
  <c r="AM17" i="25"/>
  <c r="AM17" i="33"/>
  <c r="AN17" i="27"/>
  <c r="AK17" i="25"/>
  <c r="AR19" i="23"/>
  <c r="AR17" i="33"/>
  <c r="AR17" i="25"/>
  <c r="AN19" i="23"/>
  <c r="AN17" i="33"/>
  <c r="AP17" i="25"/>
  <c r="AL19" i="23"/>
  <c r="AO17" i="33"/>
  <c r="AL17" i="25"/>
  <c r="AP19" i="23"/>
  <c r="AL17" i="33"/>
  <c r="AQ17" i="25"/>
  <c r="AM19" i="23"/>
  <c r="AR17" i="27"/>
  <c r="AL21" i="31"/>
  <c r="AO17" i="25"/>
  <c r="AK19" i="23"/>
  <c r="AO17" i="27"/>
  <c r="AN17" i="25"/>
  <c r="AQ19" i="23"/>
  <c r="AK17" i="27"/>
  <c r="AK21" i="31"/>
  <c r="AO19" i="23"/>
  <c r="AL17" i="27"/>
  <c r="AO148" i="14" l="1"/>
  <c r="AO136" i="14" s="1"/>
  <c r="AN148" i="14"/>
  <c r="AN136" i="14" s="1"/>
  <c r="AP148" i="14"/>
  <c r="AP136" i="14" s="1"/>
  <c r="AQ148" i="14"/>
  <c r="AQ136" i="14" s="1"/>
  <c r="AN124" i="14" l="1"/>
  <c r="AQ124" i="14" s="1"/>
  <c r="AQ112" i="14" s="1"/>
  <c r="AN27" i="14"/>
  <c r="AN21" i="31" s="1"/>
  <c r="AR124" i="14" l="1"/>
  <c r="AR112" i="14" s="1"/>
  <c r="AP124" i="14"/>
  <c r="AP112" i="14" s="1"/>
  <c r="AO124" i="14"/>
  <c r="AO112" i="14" s="1"/>
  <c r="AO100" i="14" l="1"/>
  <c r="AR100" i="14" s="1"/>
  <c r="AR88" i="14" s="1"/>
  <c r="AO27" i="14"/>
  <c r="AO21" i="31" s="1"/>
  <c r="AP100" i="14" l="1"/>
  <c r="AP88" i="14" s="1"/>
  <c r="AQ100" i="14"/>
  <c r="AQ88" i="14" s="1"/>
  <c r="AP76" i="14" l="1"/>
  <c r="AQ76" i="14" s="1"/>
  <c r="AP27" i="14"/>
  <c r="AP21" i="31" s="1"/>
  <c r="AR76" i="14" l="1"/>
  <c r="AR64" i="14" s="1"/>
  <c r="AQ64" i="14"/>
  <c r="AQ52" i="14" l="1"/>
  <c r="AR52" i="14" s="1"/>
  <c r="AR27" i="14" s="1"/>
  <c r="AR30" i="14" s="1"/>
  <c r="AQ27" i="14"/>
  <c r="AQ21" i="31" s="1"/>
  <c r="AR21" i="31" l="1"/>
</calcChain>
</file>

<file path=xl/sharedStrings.xml><?xml version="1.0" encoding="utf-8"?>
<sst xmlns="http://schemas.openxmlformats.org/spreadsheetml/2006/main" count="1431" uniqueCount="299">
  <si>
    <t>CRF 1.A.1 - Energiewirtschaft</t>
  </si>
  <si>
    <t>CRF 1.B - Diffuse Emissionen aus Brennstoffen</t>
  </si>
  <si>
    <t>CRF 1.A.3.e - Erdgasverdichter</t>
  </si>
  <si>
    <t>Summe</t>
  </si>
  <si>
    <t>CRF 1.A.3.a - nationaler Luftverkehr</t>
  </si>
  <si>
    <t>CRF 1.A.3.b - Straßenverkehr</t>
  </si>
  <si>
    <t>CRF 1.A.3.c - Schienenverkehr</t>
  </si>
  <si>
    <t>CRF 1.A.3.d - Küsten- &amp; Binnenschifffahrt</t>
  </si>
  <si>
    <t>1 - Energiewirtschaft</t>
  </si>
  <si>
    <t>2 - Industrie</t>
  </si>
  <si>
    <t>3 - Gebäude</t>
  </si>
  <si>
    <t>CRF 2.A - Herstellung mineralischer Produkte</t>
  </si>
  <si>
    <t>CRF 2.B - Chemische Industrie</t>
  </si>
  <si>
    <t>CRF 2.C - Herstellung von Metallen</t>
  </si>
  <si>
    <t>4 - Verkehr</t>
  </si>
  <si>
    <t>5 - Landwirtschaft</t>
  </si>
  <si>
    <t>6 - Abfallwirtschaft und Sonstiges</t>
  </si>
  <si>
    <t>CRF 1.A.4.b - Haushalte</t>
  </si>
  <si>
    <t>CRF 1.A.4.c - Stationäre &amp; mobile Feuerung</t>
  </si>
  <si>
    <t>CRF 5.A - Abfalldeponierung</t>
  </si>
  <si>
    <t>CRF 5.D - Abwasserbehandlung</t>
  </si>
  <si>
    <t>Gesamtemissionen</t>
  </si>
  <si>
    <t>ohne LULUCF</t>
  </si>
  <si>
    <t>mit LULUCF</t>
  </si>
  <si>
    <t>CRF 1.A.2 - Verarbeitendes Gewerbe</t>
  </si>
  <si>
    <t>spezieller Filter</t>
  </si>
  <si>
    <t>Anteile an den Treibhausgas-Emissionen (ohne LULUCF) [Prozent der Gesamtemissionen]</t>
  </si>
  <si>
    <t>Trends der Treibhausgas-Emissionen seit 1990 [Prozent Minderung seit 1990]</t>
  </si>
  <si>
    <t>keine Emissionen in 1990, kein Trend ausweisbar</t>
  </si>
  <si>
    <t>CRF 5.E - übrige Emissionen - Andere</t>
  </si>
  <si>
    <t>CRF 3.A - Landwirtschaft - Fermentation</t>
  </si>
  <si>
    <t>CRF 3.B - Landwirtschaft - Düngerwirtschaft</t>
  </si>
  <si>
    <t>CRF 3.D - Landwirtschaft - Landwirtschaftliche Böden</t>
  </si>
  <si>
    <t>CRF 3.G - Landwirtschaft - Kalkung</t>
  </si>
  <si>
    <t>CRF 3.H - Landwirtschaft - Harnstoffanwendung</t>
  </si>
  <si>
    <t>CRF 3.I - Landwirtschaft - Andere kohlenstoffhaltige Düngemittel</t>
  </si>
  <si>
    <t>CRF 3.J - Andere</t>
  </si>
  <si>
    <t>Lachgas-Emissionen [tausend Tonnen CO2-äquivalent]</t>
  </si>
  <si>
    <t>Methan-Emissionen [tausend Tonnen CO2-äquivalent]</t>
  </si>
  <si>
    <t>Kohlendioxid-Emissionen [tausend Tonnen CO2]</t>
  </si>
  <si>
    <t>Treibhausgas-Emissionen [tausend Tonnen CO2-äquivalent]</t>
  </si>
  <si>
    <t>Differenz</t>
  </si>
  <si>
    <t>kt</t>
  </si>
  <si>
    <t>Energiewirtschaft</t>
  </si>
  <si>
    <t>Industrie</t>
  </si>
  <si>
    <t>Verkehr</t>
  </si>
  <si>
    <t>Landwirtschaft</t>
  </si>
  <si>
    <t>Ziele</t>
  </si>
  <si>
    <t>Summe THG</t>
  </si>
  <si>
    <t>Abfallwirtschaft und Sonstiges</t>
  </si>
  <si>
    <t>Gebäude</t>
  </si>
  <si>
    <t>Achsenbezeichnung Jahreszahlen: direkt im Diagramm definiert</t>
  </si>
  <si>
    <t>Achsenbezeichnung 2:</t>
  </si>
  <si>
    <t>Achsenbezeichnung 1:</t>
  </si>
  <si>
    <t>Fußnote:</t>
  </si>
  <si>
    <t>Quelle:</t>
  </si>
  <si>
    <t>Untertitel:</t>
  </si>
  <si>
    <t>Entwicklung der Treibhausgasemissionen in Deutschland</t>
  </si>
  <si>
    <t>Hauptitel:</t>
  </si>
  <si>
    <t>Trennlinie vertikal gepunktet</t>
  </si>
  <si>
    <t>Trennlinie horizontal</t>
  </si>
  <si>
    <t>Trennlinie horizontal gepunktet</t>
  </si>
  <si>
    <t>Zusätzliche Grafikelemente</t>
  </si>
  <si>
    <t>Inventar</t>
  </si>
  <si>
    <t>Zielpfad</t>
  </si>
  <si>
    <r>
      <t>Emissionen in Mio. t CO</t>
    </r>
    <r>
      <rPr>
        <vertAlign val="subscript"/>
        <sz val="10"/>
        <color rgb="FF080808"/>
        <rFont val="Cambria"/>
        <family val="1"/>
        <scheme val="major"/>
      </rPr>
      <t>₂</t>
    </r>
    <r>
      <rPr>
        <sz val="10"/>
        <color rgb="FF080808"/>
        <rFont val="Cambria"/>
        <family val="1"/>
        <scheme val="major"/>
      </rPr>
      <t>-äquivalent</t>
    </r>
  </si>
  <si>
    <t>Emissionen in Mio. t CO₂-äquivalent</t>
  </si>
  <si>
    <t>Entwicklung und Zielerreichung der Treibhausgasemissionen in Deutschland</t>
  </si>
  <si>
    <t>2020 (-40%)</t>
  </si>
  <si>
    <t xml:space="preserve">Sektor </t>
  </si>
  <si>
    <t>F-Gase</t>
  </si>
  <si>
    <t>2- Industrie</t>
  </si>
  <si>
    <t>CRF 1.A.4.a - Gewerbe, Handel, Dienstleistung (ohne Militär und Landwirtschaft)</t>
  </si>
  <si>
    <t>CRF 1.A.5 - Militär</t>
  </si>
  <si>
    <t>CRF 5.B - biologische Behandlung von festen Abfällen</t>
  </si>
  <si>
    <t>7 - LULUCF</t>
  </si>
  <si>
    <t>Sektor</t>
  </si>
  <si>
    <t>2050 (-95%)</t>
  </si>
  <si>
    <t>in der Abgrenzung der Sektoren des Klimaschutzgesetzes (KSG)</t>
  </si>
  <si>
    <t>Sektor des Klimaschutzgesetzes (KSG)</t>
  </si>
  <si>
    <t>CRF 2.D-H - übrige Prozesse und Produktverwendungen</t>
  </si>
  <si>
    <t>Kohlendioxid (ohne LULUCF)</t>
  </si>
  <si>
    <t>Methan  (ohne LULUCF)</t>
  </si>
  <si>
    <t>Lachgas  (ohne LULUCF)</t>
  </si>
  <si>
    <t>Übersicht nach Treibhausgasen</t>
  </si>
  <si>
    <t>Gesamtemissionen (ohne LULUCF)</t>
  </si>
  <si>
    <t>abs.</t>
  </si>
  <si>
    <t>%</t>
  </si>
  <si>
    <t>Treibhausgas-Emissionen
[tausend Tonnen CO2-äquivalent]</t>
  </si>
  <si>
    <t>Unsicherheiten der Treibhausgasemissionen in Deutschland</t>
  </si>
  <si>
    <t>Emissionen</t>
  </si>
  <si>
    <t>Unsicherheiten</t>
  </si>
  <si>
    <t>[Mt]</t>
  </si>
  <si>
    <t>Aktivitätsraten
[%]</t>
  </si>
  <si>
    <t>Emissions-faktoren
[%]</t>
  </si>
  <si>
    <t>Emissionen
[±Mt]</t>
  </si>
  <si>
    <t>Emissionen
 [%]</t>
  </si>
  <si>
    <t>davon ETS</t>
  </si>
  <si>
    <t>davon Nicht-ETS</t>
  </si>
  <si>
    <t>Anteil ETS</t>
  </si>
  <si>
    <t>KSG-Ziel**
2020</t>
  </si>
  <si>
    <t>KSG-Ziel**
2030</t>
  </si>
  <si>
    <t>* Die Aufteilung der Emissionen weicht von der UN-Berichterstattung ab, die Gesamtemissionen sind identisch
** entsprechend der Novelle des Bundes-KSG vom 12.05.2021, Jahre 2022-2030 angepasst an Über- &amp; Unterschreitungen</t>
  </si>
  <si>
    <t>^</t>
  </si>
  <si>
    <t>Anpassung der Emissionsmengen an Über- und Unterschreitungen 2021</t>
  </si>
  <si>
    <t>jährliche Anpassung der Emissionsmengen in kt CO2-Äquivalenten)</t>
  </si>
  <si>
    <t>CRF 1A1</t>
  </si>
  <si>
    <t>CRF 1A3e</t>
  </si>
  <si>
    <t>CRF 1B</t>
  </si>
  <si>
    <t>CRF 1A2</t>
  </si>
  <si>
    <t>CRF 2</t>
  </si>
  <si>
    <t>CRF 1A4a</t>
  </si>
  <si>
    <t>CRF 1A4b</t>
  </si>
  <si>
    <t>CRF 1A5</t>
  </si>
  <si>
    <t>Treibhausgas-Emissionen des Europäischen Emissionshandels (ETS)* ab 2013
[tausend Tonnen CO2-äquivalent]</t>
  </si>
  <si>
    <t>* EU-ETS-Anteile an CRF Kategorien basierend auf Auswertung für Bericht nach Art. 21 Emissionshandelsrichtlinie, jeweils jahresspezifisch angepasste Methodik</t>
  </si>
  <si>
    <t>davon im ETS ***</t>
  </si>
  <si>
    <t>Fußnote1:</t>
  </si>
  <si>
    <t>Fußnote2:</t>
  </si>
  <si>
    <t>*** EU-ETS-Anteile an CRF Kategorien basierend auf Auswertung für Bericht nach Art. 21 Emissionshandelsrichtlinie, jeweils jahresspezifisch angepasste Methodik</t>
  </si>
  <si>
    <t>davon ETS ***</t>
  </si>
  <si>
    <t>im Sektor Energiewirtschaft des Klimaschutzgesetzes (KSG) *</t>
  </si>
  <si>
    <t>im Sektor Industrie des Klimaschutzgesetzes (KSG) *</t>
  </si>
  <si>
    <t>im Sektor Gebäude des Klimaschutzgesetzes (KSG) *</t>
  </si>
  <si>
    <t>im Sektor Verkehr des Klimaschutzgesetzes (KSG) *</t>
  </si>
  <si>
    <t>im Sektor Landwirtschaft des Klimaschutzgesetzes (KSG) *</t>
  </si>
  <si>
    <t>im Sektor Abfallwirtschaft und Sonstiges des Klimaschutzgesetzes (KSG) *</t>
  </si>
  <si>
    <t>in der Abgrenzung der Sektoren des Klimaschutzgesetzes (KSG) *</t>
  </si>
  <si>
    <t>7 - Landnutzung, Landnutzungsänderung und Forstwirtschaft</t>
  </si>
  <si>
    <t>CRF 4.A - Wälder</t>
  </si>
  <si>
    <t>CRF 4.B - Ackerland</t>
  </si>
  <si>
    <t>CRF 4.G - Holzprodukte</t>
  </si>
  <si>
    <t>Emissionen von F-Gasen [tausend Tonnen CO2-äquivalent]</t>
  </si>
  <si>
    <t>CRF 4.C - Grünland</t>
  </si>
  <si>
    <t>CRF 4.D - Feuchtgebiete</t>
  </si>
  <si>
    <t>CRF 4.E - Siedlungen</t>
  </si>
  <si>
    <t>Anpassung der Emissionsmengen an Über- und Unterschreitungen 2022</t>
  </si>
  <si>
    <t>Angepasste Emissionsmengen für 2021</t>
  </si>
  <si>
    <t>aus KSG Novelle</t>
  </si>
  <si>
    <t>An. EM 2021</t>
  </si>
  <si>
    <t>EM 2021 + An 2022</t>
  </si>
  <si>
    <t>Angepasste Emissionsmengen für 2022</t>
  </si>
  <si>
    <t>Emissionsmengen</t>
  </si>
  <si>
    <t>Anpassung absolut</t>
  </si>
  <si>
    <t>Emissionsmengen 2021</t>
  </si>
  <si>
    <t>aktueller Zielpfad**</t>
  </si>
  <si>
    <t>TYPE=ETS-EmB_CO2eq</t>
  </si>
  <si>
    <t>Substance=CO2</t>
  </si>
  <si>
    <t>Category=Categories~1A1</t>
  </si>
  <si>
    <t>Category=Categories~1A3e</t>
  </si>
  <si>
    <t>Category=Categories~1B</t>
  </si>
  <si>
    <t>Category=Categories~1A2</t>
  </si>
  <si>
    <t>Category=Categories~1A4a</t>
  </si>
  <si>
    <t>Category=Categories~1A4b</t>
  </si>
  <si>
    <t>Category=Categories~1A5</t>
  </si>
  <si>
    <t>Category=Categories~2_INDUSTRY</t>
  </si>
  <si>
    <t>DE_EM_1A1_N2O_CO2eq</t>
  </si>
  <si>
    <t>DE_EM_1A3e_N2O_CO2eq</t>
  </si>
  <si>
    <t>DE_EM_1B_N2O_CO2eq</t>
  </si>
  <si>
    <t>DE_EM_1A2_N2O_CO2eq</t>
  </si>
  <si>
    <t>DE_EM_2A_N2O_CO2eq</t>
  </si>
  <si>
    <t>DE_EM_2B_N2O_CO2eq</t>
  </si>
  <si>
    <t>DE_EM_2C_N2O_CO2eq</t>
  </si>
  <si>
    <t>DE_EM_1A4a_N2O_CO2eq</t>
  </si>
  <si>
    <t>DE_EM_1A4b_N2O_CO2eq</t>
  </si>
  <si>
    <t>DE_EM_1A5_N2O_CO2eq</t>
  </si>
  <si>
    <t>DE_EM_1A3a_N2O_CO2eq</t>
  </si>
  <si>
    <t>DE_EM_1A3b_N2O_CO2eq</t>
  </si>
  <si>
    <t>DE_EM_1A3c_N2O_CO2eq</t>
  </si>
  <si>
    <t>DE_EM_1A3d_N2O_CO2eq</t>
  </si>
  <si>
    <t>DE_EM_1A4c_N2O_CO2eq</t>
  </si>
  <si>
    <t>DE_EM_3A_N2O_CO2eq</t>
  </si>
  <si>
    <t>DE_EM_3B_N2O_CO2eq</t>
  </si>
  <si>
    <t>DE_EM_3D_N2O_CO2eq</t>
  </si>
  <si>
    <t>DE_EM_3G_N2O_CO2eq</t>
  </si>
  <si>
    <t>DE_EM_3H_N2O_CO2eq</t>
  </si>
  <si>
    <t>DE_EM_3I_N2O_CO2eq</t>
  </si>
  <si>
    <t>DE_EM_3J_N2O_CO2eq</t>
  </si>
  <si>
    <t>DE_EM_5A_N2O_CO2eq</t>
  </si>
  <si>
    <t>DE_EM_5B_N2O_CO2eq</t>
  </si>
  <si>
    <t>DE_EM_5D_N2O_CO2eq</t>
  </si>
  <si>
    <t>DE_EM_5E_N2O_CO2eq</t>
  </si>
  <si>
    <t>DE_EM_4A_N2O_CO2eq</t>
  </si>
  <si>
    <t>DE_EM_4B_N2O_CO2eq</t>
  </si>
  <si>
    <t>DE_EM_4C_N2O_CO2eq</t>
  </si>
  <si>
    <t>DE_EM_4D_N2O_CO2eq</t>
  </si>
  <si>
    <t>DE_EM_4E_N2O_CO2eq</t>
  </si>
  <si>
    <t>DE_EM_4G_N2O_CO2eq</t>
  </si>
  <si>
    <t>DE_EM_1A1_CH4_CO2eq</t>
  </si>
  <si>
    <t>DE_EM_1A3e_CH4_CO2eq</t>
  </si>
  <si>
    <t>DE_EM_1B_CH4_CO2eq</t>
  </si>
  <si>
    <t>DE_EM_1A2_CH4_CO2eq</t>
  </si>
  <si>
    <t>DE_EM_2A_CH4_CO2eq</t>
  </si>
  <si>
    <t>DE_EM_2B_CH4_CO2eq</t>
  </si>
  <si>
    <t>DE_EM_2C_CH4_CO2eq</t>
  </si>
  <si>
    <t>DE_EM_2G_CH4_CO2eq</t>
  </si>
  <si>
    <t>DE_EM_1A4a_CH4_CO2eq</t>
  </si>
  <si>
    <t>DE_EM_1A4b_CH4_CO2eq</t>
  </si>
  <si>
    <t>DE_EM_1A5_CH4_CO2eq</t>
  </si>
  <si>
    <t>DE_EM_1A3a_CH4_CO2eq</t>
  </si>
  <si>
    <t>DE_EM_1A3b_CH4_CO2eq</t>
  </si>
  <si>
    <t>DE_EM_1A3c_CH4_CO2eq</t>
  </si>
  <si>
    <t>DE_EM_1A3d_CH4_CO2eq</t>
  </si>
  <si>
    <t>DE_EM_1A4c_CH4_CO2eq</t>
  </si>
  <si>
    <t>DE_EM_3A_CH4_CO2eq</t>
  </si>
  <si>
    <t>DE_EM_3B_CH4_CO2eq</t>
  </si>
  <si>
    <t>DE_EM_3D_CH4_CO2eq</t>
  </si>
  <si>
    <t>DE_EM_3G_CH4_CO2eq</t>
  </si>
  <si>
    <t>DE_EM_3H_CH4_CO2eq</t>
  </si>
  <si>
    <t>DE_EM_3I_CH4_CO2eq</t>
  </si>
  <si>
    <t>DE_EM_3J_CH4_CO2eq</t>
  </si>
  <si>
    <t>DE_EM_5A_CH4_CO2eq</t>
  </si>
  <si>
    <t>DE_EM_5B_CH4_CO2eq</t>
  </si>
  <si>
    <t>DE_EM_5D_CH4_CO2eq</t>
  </si>
  <si>
    <t>DE_EM_5E_CH4_CO2eq</t>
  </si>
  <si>
    <t>DE_EM_4A_CH4_CO2eq</t>
  </si>
  <si>
    <t>DE_EM_4B_CH4_CO2eq</t>
  </si>
  <si>
    <t>DE_EM_4C_CH4_CO2eq</t>
  </si>
  <si>
    <t>DE_EM_4D_CH4_CO2eq</t>
  </si>
  <si>
    <t>DE_EM_4E_CH4_CO2eq</t>
  </si>
  <si>
    <t>DE_EM_4G_CH4_CO2eq</t>
  </si>
  <si>
    <t>DE_EM_1A1_CO2_CO2eq</t>
  </si>
  <si>
    <t>DE_EM_1A3e_CO2_CO2eq</t>
  </si>
  <si>
    <t>DE_EM_1B_CO2_CO2eq</t>
  </si>
  <si>
    <t>DE_EM_1A2_CO2_CO2eq</t>
  </si>
  <si>
    <t>DE_EM_2A_CO2_CO2eq</t>
  </si>
  <si>
    <t>DE_EM_2B_CO2_CO2eq</t>
  </si>
  <si>
    <t>DE_EM_2C_CO2_CO2eq</t>
  </si>
  <si>
    <t>DE_EM_2D_CO2_CO2eq</t>
  </si>
  <si>
    <t>DE_EM_1A4a_CO2_CO2eq</t>
  </si>
  <si>
    <t>DE_EM_1A4b_CO2_CO2eq</t>
  </si>
  <si>
    <t>DE_EM_1A5_CO2_CO2eq</t>
  </si>
  <si>
    <t>DE_EM_1A3a_CO2_CO2eq</t>
  </si>
  <si>
    <t>DE_EM_1A3b_CO2_CO2eq</t>
  </si>
  <si>
    <t>DE_EM_1A3c_CO2_CO2eq</t>
  </si>
  <si>
    <t>DE_EM_1A3d_CO2_CO2eq</t>
  </si>
  <si>
    <t>DE_EM_1A4c_CO2_CO2eq</t>
  </si>
  <si>
    <t>DE_EM_3A_CO2_CO2eq</t>
  </si>
  <si>
    <t>DE_EM_3B_CO2_CO2eq</t>
  </si>
  <si>
    <t>DE_EM_3D_CO2_CO2eq</t>
  </si>
  <si>
    <t>DE_EM_3G_CO2_CO2eq</t>
  </si>
  <si>
    <t>DE_EM_3H_CO2_CO2eq</t>
  </si>
  <si>
    <t>DE_EM_3I_CO2_CO2eq</t>
  </si>
  <si>
    <t>DE_EM_3J_CO2_CO2eq</t>
  </si>
  <si>
    <t>DE_EM_5A_CO2_CO2eq</t>
  </si>
  <si>
    <t>DE_EM_5B_CO2_CO2eq</t>
  </si>
  <si>
    <t>DE_EM_5C_CO2_CO2eq</t>
  </si>
  <si>
    <t>DE_EM_5D_CO2_CO2eq</t>
  </si>
  <si>
    <t>DE_EM_4A_CO2_CO2eq</t>
  </si>
  <si>
    <t>DE_EM_4B_CO2_CO2eq</t>
  </si>
  <si>
    <t>DE_EM_4C_CO2_CO2eq</t>
  </si>
  <si>
    <t>DE_EM_4D_CO2_CO2eq</t>
  </si>
  <si>
    <t>DE_EM_4E_CO2_CO2eq</t>
  </si>
  <si>
    <t>DE_EM_4G_CO2_CO2eq</t>
  </si>
  <si>
    <t>GWP: 1</t>
  </si>
  <si>
    <t>GWP: 28</t>
  </si>
  <si>
    <t>GWP: 265</t>
  </si>
  <si>
    <t>Veröffentlichte Emissionen Berichtsjahr (fest außer VJS-Jahr)</t>
  </si>
  <si>
    <t>Anpassung der Emissionsmengen an Über- und Unterschreitungen 2029</t>
  </si>
  <si>
    <t>jährliche Anpassung der Emissionsmengen in kt CO2-Äquivalenten</t>
  </si>
  <si>
    <t>Angepasste Emissionsmengen für 2028</t>
  </si>
  <si>
    <t>Anpassung der Emissionsmengen an Über- und Unterschreitungen 2028</t>
  </si>
  <si>
    <t>Angepasste Emissionsmengen für 2027</t>
  </si>
  <si>
    <t>Anpassung der Emissionsmengen an Über- und Unterschreitungen 2027</t>
  </si>
  <si>
    <t>Angepasste Emissionsmengen für 2026</t>
  </si>
  <si>
    <t>Anpassung der Emissionsmengen an Über- und Unterschreitungen 2026</t>
  </si>
  <si>
    <t>Angepasste Emissionsmengen für 2025</t>
  </si>
  <si>
    <t>Anpassung der Emissionsmengen an Über- und Unterschreitungen 2025</t>
  </si>
  <si>
    <t>Angepasste Emissionsmengen für 2024</t>
  </si>
  <si>
    <t>Anpassung der Emissionsmengen an Über- und Unterschreitungen 2024</t>
  </si>
  <si>
    <t>Angepasste Emissionsmengen für 2023</t>
  </si>
  <si>
    <t>Anpassung der Emissionsmengen an Über- und Unterschreitungen 2023</t>
  </si>
  <si>
    <t>* Die Aufteilung der Emissionen weicht von der UN-Berichterstattung ab, die Gesamtemissionen sind identisch
** entsprechend der Novelle des Bundes-KSG vom 12.05.2021</t>
  </si>
  <si>
    <t>Differenz 2024 zum Vorjahr</t>
  </si>
  <si>
    <t>2024 Schätzung</t>
  </si>
  <si>
    <t>Vorjahresschätzung 2024</t>
  </si>
  <si>
    <t>Vergleich der Vorjahresschätzung für das Jahr 2024 mit den Inventardaten für das Jahr 2023</t>
  </si>
  <si>
    <t>Inventar 2023</t>
  </si>
  <si>
    <t>0 - JEGM</t>
  </si>
  <si>
    <t>Angepasste Emissionshöchstmengen</t>
  </si>
  <si>
    <t>Emissionsgesamtmengen</t>
  </si>
  <si>
    <t>Emissionsmengen 2023</t>
  </si>
  <si>
    <t>Emissionsmengen 2024</t>
  </si>
  <si>
    <t>Emissionsmengen 2025</t>
  </si>
  <si>
    <t>Emissionsmengen 2026</t>
  </si>
  <si>
    <t>Emissionsmengen 2027</t>
  </si>
  <si>
    <t>Emissionsmengen 2028</t>
  </si>
  <si>
    <t>Emissionsmengen 2029</t>
  </si>
  <si>
    <t>Emissionsgesamtmengen 2023</t>
  </si>
  <si>
    <t>Emissionsgesamtmengen 2024</t>
  </si>
  <si>
    <t>Emissionsgesamtmengen 2027</t>
  </si>
  <si>
    <t>Emissionsgesamtmengen 2026</t>
  </si>
  <si>
    <t>Emissionsgesamtmengen 2029</t>
  </si>
  <si>
    <t>theoretische Ziele bas. Auf JEGM</t>
  </si>
  <si>
    <t>1 - Energiewirtschaft (bas. auf JEGM)</t>
  </si>
  <si>
    <t>Maximale Emissionsmengen laut novelliertem KSG</t>
  </si>
  <si>
    <t>0 - JEGM Ursprungspfad</t>
  </si>
  <si>
    <t>lineare Interpolation</t>
  </si>
  <si>
    <t>JEGM aus Summe der Sektoremissionen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</si>
</sst>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164" formatCode="_(* #,##0.00_);_(* \(#,##0.00\);_(* &quot;-&quot;??_);_(@_)"/>
    <numFmt numFmtId="165" formatCode="yyyy"/>
    <numFmt numFmtId="166" formatCode="#,##0.0"/>
    <numFmt numFmtId="167" formatCode="0.0%"/>
    <numFmt numFmtId="168" formatCode="@\ *."/>
    <numFmt numFmtId="169" formatCode="\ \ \ \ \ \ \ \ \ \ @\ *."/>
    <numFmt numFmtId="170" formatCode="\ \ \ \ \ \ \ \ \ \ \ \ @\ *."/>
    <numFmt numFmtId="171" formatCode="\ \ \ \ \ \ \ \ \ \ \ \ @"/>
    <numFmt numFmtId="172" formatCode="\ \ \ \ \ \ \ \ \ \ \ \ \ @\ *."/>
    <numFmt numFmtId="173" formatCode="\ @\ *."/>
    <numFmt numFmtId="174" formatCode="\ @"/>
    <numFmt numFmtId="175" formatCode="\ \ @\ *."/>
    <numFmt numFmtId="176" formatCode="\ \ @"/>
    <numFmt numFmtId="177" formatCode="\ \ \ @\ *."/>
    <numFmt numFmtId="178" formatCode="\ \ \ @"/>
    <numFmt numFmtId="179" formatCode="\ \ \ \ @\ *."/>
    <numFmt numFmtId="180" formatCode="\ \ \ \ @"/>
    <numFmt numFmtId="181" formatCode="\ \ \ \ \ \ @\ *."/>
    <numFmt numFmtId="182" formatCode="\ \ \ \ \ \ @"/>
    <numFmt numFmtId="183" formatCode="\ \ \ \ \ \ \ @\ *."/>
    <numFmt numFmtId="184" formatCode="\ \ \ \ \ \ \ \ \ @\ *."/>
    <numFmt numFmtId="185" formatCode="\ \ \ \ \ \ \ \ \ @"/>
    <numFmt numFmtId="186" formatCode="#,##0.00\ &quot;Gg&quot;"/>
    <numFmt numFmtId="187" formatCode="#,##0.00\ &quot;kg&quot;"/>
    <numFmt numFmtId="188" formatCode="#,##0.00\ &quot;kt&quot;"/>
    <numFmt numFmtId="189" formatCode="#,##0.00\ &quot;Stck&quot;"/>
    <numFmt numFmtId="190" formatCode="#,##0.00\ &quot;Stk&quot;"/>
    <numFmt numFmtId="191" formatCode="#,##0.00\ &quot;T.Stk&quot;"/>
    <numFmt numFmtId="192" formatCode="#,##0.00\ &quot;TJ&quot;"/>
    <numFmt numFmtId="193" formatCode="#,##0.00\ &quot;TStk&quot;"/>
    <numFmt numFmtId="194" formatCode="_-* #,##0.00\ [$€]_-;\-* #,##0.00\ [$€]_-;_-* &quot;-&quot;??\ [$€]_-;_-@_-"/>
    <numFmt numFmtId="195" formatCode="#,##0.0000"/>
    <numFmt numFmtId="196" formatCode="&quot;Quelle: Umweltbundesamt &quot;\ dd/mm/yyyy"/>
    <numFmt numFmtId="197" formatCode="&quot;Quelle:&quot;\ @"/>
    <numFmt numFmtId="198" formatCode="\+0.0%;\-0.0%;0.0%"/>
    <numFmt numFmtId="199" formatCode="\+#,##0;\-#,##0;0"/>
    <numFmt numFmtId="200" formatCode="#,##0.000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6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Arial"/>
      <family val="2"/>
    </font>
    <font>
      <i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sz val="9"/>
      <color indexed="8"/>
      <name val="Times New Roman"/>
      <family val="1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name val="Cambria"/>
      <family val="1"/>
      <scheme val="maj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10"/>
      <color rgb="FF080808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FFFF"/>
      <name val="Cambria"/>
      <family val="1"/>
      <scheme val="major"/>
    </font>
    <font>
      <sz val="10"/>
      <color rgb="FF080808"/>
      <name val="Cambria"/>
      <family val="1"/>
      <scheme val="major"/>
    </font>
    <font>
      <vertAlign val="subscript"/>
      <sz val="10"/>
      <color rgb="FF080808"/>
      <name val="Cambria"/>
      <family val="1"/>
      <scheme val="major"/>
    </font>
    <font>
      <b/>
      <sz val="9"/>
      <color theme="0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9"/>
      <color theme="0" tint="-0.1499984740745262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9"/>
      <color theme="8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sz val="8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</fills>
  <borders count="3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13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 applyFont="0" applyFill="0" applyBorder="0" applyAlignment="0" applyProtection="0">
      <alignment horizontal="left"/>
    </xf>
    <xf numFmtId="0" fontId="10" fillId="0" borderId="0" applyFont="0" applyFill="0" applyBorder="0" applyAlignment="0" applyProtection="0"/>
    <xf numFmtId="49" fontId="13" fillId="0" borderId="5" applyNumberFormat="0" applyFont="0" applyFill="0" applyBorder="0" applyProtection="0">
      <alignment horizontal="left" vertical="center" indent="2"/>
    </xf>
    <xf numFmtId="49" fontId="13" fillId="0" borderId="6" applyNumberFormat="0" applyFont="0" applyFill="0" applyBorder="0" applyProtection="0">
      <alignment horizontal="left" vertical="center" indent="5"/>
    </xf>
    <xf numFmtId="0" fontId="1" fillId="0" borderId="0"/>
    <xf numFmtId="49" fontId="14" fillId="0" borderId="5" applyNumberFormat="0" applyFill="0" applyBorder="0" applyProtection="0">
      <alignment horizontal="left" vertical="center"/>
    </xf>
    <xf numFmtId="4" fontId="14" fillId="0" borderId="7" applyFill="0" applyBorder="0" applyProtection="0">
      <alignment horizontal="right" vertical="center"/>
    </xf>
    <xf numFmtId="0" fontId="15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" fontId="13" fillId="0" borderId="5" applyFill="0" applyBorder="0" applyProtection="0">
      <alignment horizontal="right" vertical="center"/>
    </xf>
    <xf numFmtId="0" fontId="16" fillId="5" borderId="0" applyNumberFormat="0" applyFont="0" applyBorder="0" applyAlignment="0" applyProtection="0"/>
    <xf numFmtId="168" fontId="17" fillId="0" borderId="0"/>
    <xf numFmtId="49" fontId="17" fillId="0" borderId="0"/>
    <xf numFmtId="169" fontId="17" fillId="0" borderId="0">
      <alignment horizontal="center"/>
    </xf>
    <xf numFmtId="170" fontId="17" fillId="0" borderId="0"/>
    <xf numFmtId="171" fontId="17" fillId="0" borderId="0"/>
    <xf numFmtId="172" fontId="17" fillId="0" borderId="0"/>
    <xf numFmtId="173" fontId="17" fillId="0" borderId="0"/>
    <xf numFmtId="174" fontId="18" fillId="0" borderId="0"/>
    <xf numFmtId="175" fontId="19" fillId="0" borderId="0"/>
    <xf numFmtId="176" fontId="18" fillId="0" borderId="0"/>
    <xf numFmtId="177" fontId="17" fillId="0" borderId="0"/>
    <xf numFmtId="178" fontId="17" fillId="0" borderId="0"/>
    <xf numFmtId="179" fontId="17" fillId="0" borderId="0"/>
    <xf numFmtId="180" fontId="18" fillId="0" borderId="0"/>
    <xf numFmtId="181" fontId="17" fillId="0" borderId="0">
      <alignment horizontal="center"/>
    </xf>
    <xf numFmtId="182" fontId="17" fillId="0" borderId="0">
      <alignment horizontal="center"/>
    </xf>
    <xf numFmtId="183" fontId="17" fillId="0" borderId="0">
      <alignment horizontal="center"/>
    </xf>
    <xf numFmtId="184" fontId="17" fillId="0" borderId="0">
      <alignment horizontal="center"/>
    </xf>
    <xf numFmtId="185" fontId="17" fillId="0" borderId="0">
      <alignment horizontal="center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6" fontId="10" fillId="0" borderId="8" applyFont="0" applyFill="0" applyBorder="0" applyAlignment="0" applyProtection="0">
      <alignment horizontal="left"/>
    </xf>
    <xf numFmtId="186" fontId="10" fillId="0" borderId="8" applyFont="0" applyFill="0" applyBorder="0" applyAlignment="0" applyProtection="0">
      <alignment horizontal="left"/>
    </xf>
    <xf numFmtId="187" fontId="10" fillId="0" borderId="8" applyFont="0" applyFill="0" applyBorder="0" applyAlignment="0" applyProtection="0">
      <alignment horizontal="left"/>
    </xf>
    <xf numFmtId="187" fontId="10" fillId="0" borderId="8" applyFont="0" applyFill="0" applyBorder="0" applyAlignment="0" applyProtection="0">
      <alignment horizontal="left"/>
    </xf>
    <xf numFmtId="188" fontId="10" fillId="0" borderId="8" applyFont="0" applyFill="0" applyBorder="0" applyAlignment="0" applyProtection="0">
      <alignment horizontal="left"/>
    </xf>
    <xf numFmtId="188" fontId="10" fillId="0" borderId="8" applyFont="0" applyFill="0" applyBorder="0" applyAlignment="0" applyProtection="0">
      <alignment horizontal="left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>
      <alignment horizontal="left"/>
    </xf>
    <xf numFmtId="0" fontId="10" fillId="0" borderId="0" applyFont="0" applyFill="0" applyBorder="0" applyAlignment="0" applyProtection="0">
      <alignment horizontal="left"/>
    </xf>
    <xf numFmtId="189" fontId="10" fillId="0" borderId="8" applyFont="0" applyFill="0" applyBorder="0" applyAlignment="0" applyProtection="0">
      <alignment horizontal="left"/>
    </xf>
    <xf numFmtId="189" fontId="10" fillId="0" borderId="8" applyFont="0" applyFill="0" applyBorder="0" applyAlignment="0" applyProtection="0">
      <alignment horizontal="left"/>
    </xf>
    <xf numFmtId="190" fontId="10" fillId="0" borderId="8" applyFont="0" applyFill="0" applyBorder="0" applyAlignment="0" applyProtection="0">
      <alignment horizontal="left"/>
    </xf>
    <xf numFmtId="190" fontId="10" fillId="0" borderId="8" applyFont="0" applyFill="0" applyBorder="0" applyAlignment="0" applyProtection="0">
      <alignment horizontal="left"/>
    </xf>
    <xf numFmtId="191" fontId="10" fillId="0" borderId="8" applyFont="0" applyFill="0" applyBorder="0" applyAlignment="0" applyProtection="0">
      <alignment horizontal="left"/>
    </xf>
    <xf numFmtId="191" fontId="10" fillId="0" borderId="8" applyFont="0" applyFill="0" applyBorder="0" applyAlignment="0" applyProtection="0">
      <alignment horizontal="left"/>
    </xf>
    <xf numFmtId="192" fontId="10" fillId="0" borderId="8" applyFont="0" applyFill="0" applyBorder="0" applyAlignment="0" applyProtection="0">
      <alignment horizontal="left"/>
    </xf>
    <xf numFmtId="192" fontId="10" fillId="0" borderId="8" applyFont="0" applyFill="0" applyBorder="0" applyAlignment="0" applyProtection="0">
      <alignment horizontal="left"/>
    </xf>
    <xf numFmtId="193" fontId="10" fillId="0" borderId="8" applyFont="0" applyFill="0" applyBorder="0" applyAlignment="0" applyProtection="0">
      <alignment horizontal="left"/>
    </xf>
    <xf numFmtId="193" fontId="10" fillId="0" borderId="8" applyFont="0" applyFill="0" applyBorder="0" applyAlignment="0" applyProtection="0">
      <alignment horizontal="left"/>
    </xf>
    <xf numFmtId="165" fontId="10" fillId="0" borderId="8" applyFont="0" applyFill="0" applyBorder="0" applyAlignment="0" applyProtection="0">
      <alignment horizontal="left"/>
    </xf>
    <xf numFmtId="165" fontId="10" fillId="0" borderId="8" applyFont="0" applyFill="0" applyBorder="0" applyAlignment="0" applyProtection="0">
      <alignment horizontal="left"/>
    </xf>
    <xf numFmtId="194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168" fontId="18" fillId="0" borderId="0"/>
    <xf numFmtId="0" fontId="13" fillId="0" borderId="5" applyNumberFormat="0" applyFill="0" applyAlignment="0" applyProtection="0"/>
    <xf numFmtId="0" fontId="10" fillId="0" borderId="0"/>
    <xf numFmtId="49" fontId="18" fillId="0" borderId="0"/>
    <xf numFmtId="195" fontId="13" fillId="6" borderId="5" applyNumberFormat="0" applyFont="0" applyBorder="0" applyAlignment="0" applyProtection="0">
      <alignment horizontal="right" vertical="center"/>
    </xf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3" fillId="0" borderId="0"/>
    <xf numFmtId="0" fontId="21" fillId="0" borderId="0" applyNumberFormat="0">
      <alignment horizontal="right"/>
    </xf>
    <xf numFmtId="164" fontId="10" fillId="0" borderId="0" applyFont="0" applyFill="0" applyBorder="0" applyAlignment="0" applyProtection="0"/>
    <xf numFmtId="0" fontId="10" fillId="15" borderId="0" applyNumberFormat="0" applyFont="0" applyBorder="0" applyAlignment="0" applyProtection="0"/>
    <xf numFmtId="0" fontId="10" fillId="0" borderId="0"/>
    <xf numFmtId="0" fontId="10" fillId="0" borderId="23"/>
    <xf numFmtId="4" fontId="10" fillId="0" borderId="0"/>
    <xf numFmtId="0" fontId="10" fillId="15" borderId="0" applyNumberFormat="0" applyFont="0" applyBorder="0" applyAlignment="0" applyProtection="0"/>
    <xf numFmtId="0" fontId="10" fillId="0" borderId="0" applyNumberFormat="0" applyFont="0" applyFill="0" applyBorder="0" applyProtection="0">
      <alignment horizontal="left" vertical="center" indent="5"/>
    </xf>
    <xf numFmtId="0" fontId="10" fillId="0" borderId="0" applyNumberFormat="0" applyFont="0" applyFill="0" applyBorder="0" applyProtection="0">
      <alignment horizontal="left" vertical="center" indent="2"/>
    </xf>
    <xf numFmtId="0" fontId="10" fillId="0" borderId="0" applyNumberFormat="0" applyFont="0" applyFill="0" applyBorder="0" applyProtection="0">
      <alignment horizontal="left" vertical="center" indent="5"/>
    </xf>
    <xf numFmtId="0" fontId="14" fillId="8" borderId="0" applyBorder="0" applyAlignment="0"/>
    <xf numFmtId="0" fontId="13" fillId="8" borderId="0" applyBorder="0">
      <alignment horizontal="right" vertical="center"/>
    </xf>
    <xf numFmtId="0" fontId="13" fillId="16" borderId="0" applyBorder="0">
      <alignment horizontal="right" vertical="center"/>
    </xf>
    <xf numFmtId="0" fontId="13" fillId="16" borderId="0" applyBorder="0">
      <alignment horizontal="right" vertical="center"/>
    </xf>
    <xf numFmtId="0" fontId="21" fillId="16" borderId="5">
      <alignment horizontal="right" vertical="center"/>
    </xf>
    <xf numFmtId="0" fontId="42" fillId="16" borderId="5">
      <alignment horizontal="right" vertical="center"/>
    </xf>
    <xf numFmtId="0" fontId="21" fillId="17" borderId="5">
      <alignment horizontal="right" vertical="center"/>
    </xf>
    <xf numFmtId="0" fontId="21" fillId="17" borderId="5">
      <alignment horizontal="right" vertical="center"/>
    </xf>
    <xf numFmtId="0" fontId="21" fillId="17" borderId="24">
      <alignment horizontal="right" vertical="center"/>
    </xf>
    <xf numFmtId="0" fontId="21" fillId="17" borderId="6">
      <alignment horizontal="right" vertical="center"/>
    </xf>
    <xf numFmtId="0" fontId="21" fillId="17" borderId="25">
      <alignment horizontal="right" vertical="center"/>
    </xf>
    <xf numFmtId="0" fontId="13" fillId="17" borderId="26">
      <alignment horizontal="left" vertical="center" wrapText="1" indent="2"/>
    </xf>
    <xf numFmtId="0" fontId="13" fillId="0" borderId="26">
      <alignment horizontal="left" vertical="center" wrapText="1" indent="2"/>
    </xf>
    <xf numFmtId="0" fontId="13" fillId="16" borderId="6">
      <alignment horizontal="left" vertical="center"/>
    </xf>
    <xf numFmtId="0" fontId="21" fillId="0" borderId="27">
      <alignment horizontal="left" vertical="top" wrapText="1"/>
    </xf>
    <xf numFmtId="0" fontId="13" fillId="0" borderId="0" applyBorder="0">
      <alignment horizontal="right" vertical="center"/>
    </xf>
    <xf numFmtId="0" fontId="13" fillId="0" borderId="5">
      <alignment horizontal="right" vertical="center"/>
    </xf>
    <xf numFmtId="1" fontId="43" fillId="16" borderId="0" applyBorder="0">
      <alignment horizontal="right" vertical="center"/>
    </xf>
    <xf numFmtId="0" fontId="10" fillId="18" borderId="5"/>
    <xf numFmtId="0" fontId="10" fillId="0" borderId="0"/>
    <xf numFmtId="4" fontId="13" fillId="0" borderId="0" applyFill="0" applyBorder="0" applyProtection="0">
      <alignment horizontal="right" vertical="center"/>
    </xf>
    <xf numFmtId="0" fontId="14" fillId="0" borderId="0" applyNumberFormat="0" applyFill="0" applyBorder="0" applyProtection="0">
      <alignment horizontal="left" vertical="center"/>
    </xf>
    <xf numFmtId="0" fontId="10" fillId="15" borderId="0" applyNumberFormat="0" applyFont="0" applyBorder="0" applyAlignment="0" applyProtection="0"/>
    <xf numFmtId="4" fontId="10" fillId="0" borderId="0"/>
    <xf numFmtId="0" fontId="13" fillId="15" borderId="5"/>
    <xf numFmtId="0" fontId="44" fillId="0" borderId="0" applyNumberFormat="0" applyFill="0" applyBorder="0" applyAlignment="0" applyProtection="0"/>
    <xf numFmtId="4" fontId="10" fillId="0" borderId="0"/>
    <xf numFmtId="0" fontId="1" fillId="0" borderId="0"/>
    <xf numFmtId="4" fontId="10" fillId="0" borderId="0"/>
    <xf numFmtId="164" fontId="10" fillId="0" borderId="0" applyFont="0" applyFill="0" applyBorder="0" applyAlignment="0" applyProtection="0"/>
  </cellStyleXfs>
  <cellXfs count="236">
    <xf numFmtId="0" fontId="0" fillId="0" borderId="0" xfId="0"/>
    <xf numFmtId="0" fontId="3" fillId="2" borderId="0" xfId="0" applyFont="1" applyFill="1" applyBorder="1" applyAlignment="1">
      <alignment horizontal="left" vertical="top"/>
    </xf>
    <xf numFmtId="0" fontId="0" fillId="2" borderId="0" xfId="0" applyFont="1" applyFill="1"/>
    <xf numFmtId="0" fontId="4" fillId="2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/>
    </xf>
    <xf numFmtId="165" fontId="5" fillId="3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2" borderId="0" xfId="0" applyFont="1" applyFill="1"/>
    <xf numFmtId="0" fontId="3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3" fillId="4" borderId="3" xfId="0" applyFont="1" applyFill="1" applyBorder="1" applyAlignment="1">
      <alignment horizontal="left" vertical="center" wrapText="1" indent="2"/>
    </xf>
    <xf numFmtId="0" fontId="3" fillId="2" borderId="3" xfId="0" applyFont="1" applyFill="1" applyBorder="1" applyAlignment="1">
      <alignment horizontal="left" vertical="center" wrapText="1" indent="2"/>
    </xf>
    <xf numFmtId="0" fontId="6" fillId="2" borderId="3" xfId="0" applyFont="1" applyFill="1" applyBorder="1" applyAlignment="1">
      <alignment horizontal="center" vertical="center" wrapText="1"/>
    </xf>
    <xf numFmtId="166" fontId="6" fillId="2" borderId="4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 indent="2"/>
    </xf>
    <xf numFmtId="0" fontId="4" fillId="2" borderId="0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left" vertical="center" wrapText="1" indent="2"/>
    </xf>
    <xf numFmtId="3" fontId="6" fillId="4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3" fontId="3" fillId="4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0" fontId="12" fillId="2" borderId="0" xfId="0" applyFont="1" applyFill="1"/>
    <xf numFmtId="167" fontId="6" fillId="4" borderId="4" xfId="1" applyNumberFormat="1" applyFont="1" applyFill="1" applyBorder="1" applyAlignment="1">
      <alignment horizontal="right" vertical="center"/>
    </xf>
    <xf numFmtId="167" fontId="6" fillId="2" borderId="4" xfId="1" applyNumberFormat="1" applyFont="1" applyFill="1" applyBorder="1" applyAlignment="1">
      <alignment horizontal="right" vertical="center"/>
    </xf>
    <xf numFmtId="167" fontId="3" fillId="4" borderId="4" xfId="1" applyNumberFormat="1" applyFont="1" applyFill="1" applyBorder="1" applyAlignment="1">
      <alignment horizontal="right" vertical="center"/>
    </xf>
    <xf numFmtId="167" fontId="3" fillId="2" borderId="4" xfId="1" applyNumberFormat="1" applyFont="1" applyFill="1" applyBorder="1" applyAlignment="1">
      <alignment horizontal="right" vertical="center"/>
    </xf>
    <xf numFmtId="0" fontId="6" fillId="7" borderId="3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2" fillId="0" borderId="0" xfId="0" applyFont="1" applyFill="1"/>
    <xf numFmtId="2" fontId="23" fillId="0" borderId="0" xfId="72" applyNumberFormat="1" applyFont="1" applyAlignment="1" applyProtection="1">
      <alignment vertical="center"/>
      <protection locked="0"/>
    </xf>
    <xf numFmtId="0" fontId="22" fillId="0" borderId="0" xfId="0" applyFont="1" applyFill="1"/>
    <xf numFmtId="0" fontId="0" fillId="0" borderId="0" xfId="0" applyFont="1" applyFill="1"/>
    <xf numFmtId="0" fontId="25" fillId="0" borderId="0" xfId="71" applyFont="1" applyBorder="1"/>
    <xf numFmtId="0" fontId="25" fillId="0" borderId="0" xfId="71" applyFont="1"/>
    <xf numFmtId="0" fontId="3" fillId="0" borderId="0" xfId="71" applyFont="1" applyBorder="1" applyAlignment="1"/>
    <xf numFmtId="0" fontId="27" fillId="0" borderId="0" xfId="71" applyFont="1" applyBorder="1" applyAlignment="1"/>
    <xf numFmtId="0" fontId="25" fillId="4" borderId="12" xfId="71" applyFont="1" applyFill="1" applyBorder="1" applyProtection="1"/>
    <xf numFmtId="0" fontId="25" fillId="4" borderId="0" xfId="71" applyFont="1" applyFill="1" applyBorder="1" applyProtection="1"/>
    <xf numFmtId="0" fontId="3" fillId="4" borderId="0" xfId="71" applyFont="1" applyFill="1" applyBorder="1" applyProtection="1"/>
    <xf numFmtId="0" fontId="25" fillId="4" borderId="11" xfId="71" applyFont="1" applyFill="1" applyBorder="1" applyProtection="1"/>
    <xf numFmtId="0" fontId="6" fillId="0" borderId="0" xfId="71" applyFont="1" applyBorder="1" applyAlignment="1"/>
    <xf numFmtId="0" fontId="25" fillId="4" borderId="12" xfId="71" applyFont="1" applyFill="1" applyBorder="1"/>
    <xf numFmtId="0" fontId="25" fillId="4" borderId="0" xfId="71" applyFont="1" applyFill="1" applyBorder="1"/>
    <xf numFmtId="0" fontId="25" fillId="4" borderId="11" xfId="71" applyFont="1" applyFill="1" applyBorder="1"/>
    <xf numFmtId="0" fontId="3" fillId="0" borderId="0" xfId="71" applyFont="1" applyBorder="1" applyAlignment="1">
      <alignment horizontal="right" indent="1"/>
    </xf>
    <xf numFmtId="0" fontId="3" fillId="4" borderId="0" xfId="71" applyFont="1" applyFill="1" applyBorder="1"/>
    <xf numFmtId="0" fontId="25" fillId="12" borderId="0" xfId="71" applyFont="1" applyFill="1" applyBorder="1"/>
    <xf numFmtId="0" fontId="3" fillId="12" borderId="0" xfId="71" applyFont="1" applyFill="1" applyBorder="1" applyAlignment="1">
      <alignment horizontal="right" indent="1"/>
    </xf>
    <xf numFmtId="0" fontId="25" fillId="12" borderId="0" xfId="71" applyFont="1" applyFill="1" applyBorder="1" applyProtection="1"/>
    <xf numFmtId="0" fontId="3" fillId="12" borderId="0" xfId="71" applyFont="1" applyFill="1" applyBorder="1" applyAlignment="1" applyProtection="1">
      <alignment horizontal="right" indent="1"/>
    </xf>
    <xf numFmtId="0" fontId="25" fillId="4" borderId="10" xfId="71" applyFont="1" applyFill="1" applyBorder="1"/>
    <xf numFmtId="0" fontId="25" fillId="4" borderId="15" xfId="71" applyFont="1" applyFill="1" applyBorder="1"/>
    <xf numFmtId="0" fontId="25" fillId="4" borderId="9" xfId="71" applyFont="1" applyFill="1" applyBorder="1"/>
    <xf numFmtId="0" fontId="28" fillId="12" borderId="0" xfId="71" applyFont="1" applyFill="1" applyBorder="1" applyAlignment="1" applyProtection="1">
      <alignment horizontal="left" vertical="top" wrapText="1"/>
    </xf>
    <xf numFmtId="0" fontId="3" fillId="12" borderId="0" xfId="71" applyFont="1" applyFill="1" applyBorder="1"/>
    <xf numFmtId="0" fontId="25" fillId="12" borderId="0" xfId="71" applyFont="1" applyFill="1" applyBorder="1" applyAlignment="1">
      <alignment vertical="center"/>
    </xf>
    <xf numFmtId="0" fontId="28" fillId="12" borderId="0" xfId="71" applyFont="1" applyFill="1" applyBorder="1" applyAlignment="1">
      <alignment vertical="center"/>
    </xf>
    <xf numFmtId="197" fontId="7" fillId="12" borderId="0" xfId="71" applyNumberFormat="1" applyFont="1" applyFill="1" applyBorder="1" applyAlignment="1">
      <alignment vertical="top" wrapText="1"/>
    </xf>
    <xf numFmtId="0" fontId="7" fillId="12" borderId="0" xfId="71" applyFont="1" applyFill="1" applyBorder="1" applyAlignment="1">
      <alignment vertical="top"/>
    </xf>
    <xf numFmtId="2" fontId="31" fillId="0" borderId="0" xfId="72" applyNumberFormat="1" applyFont="1" applyAlignment="1" applyProtection="1">
      <alignment vertical="center"/>
      <protection locked="0"/>
    </xf>
    <xf numFmtId="2" fontId="31" fillId="0" borderId="0" xfId="72" applyNumberFormat="1" applyFont="1" applyAlignment="1" applyProtection="1">
      <alignment vertical="top"/>
      <protection locked="0"/>
    </xf>
    <xf numFmtId="0" fontId="4" fillId="0" borderId="0" xfId="0" applyFont="1" applyFill="1" applyBorder="1" applyAlignment="1">
      <alignment horizontal="left" vertical="top"/>
    </xf>
    <xf numFmtId="0" fontId="29" fillId="11" borderId="2" xfId="0" applyFont="1" applyFill="1" applyBorder="1" applyAlignment="1">
      <alignment horizontal="center" vertical="center" wrapText="1"/>
    </xf>
    <xf numFmtId="0" fontId="29" fillId="11" borderId="1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right" vertical="center" wrapText="1" indent="3"/>
    </xf>
    <xf numFmtId="3" fontId="3" fillId="0" borderId="4" xfId="0" applyNumberFormat="1" applyFont="1" applyFill="1" applyBorder="1" applyAlignment="1">
      <alignment horizontal="right" vertical="center" wrapText="1" indent="3"/>
    </xf>
    <xf numFmtId="4" fontId="3" fillId="10" borderId="4" xfId="0" applyNumberFormat="1" applyFont="1" applyFill="1" applyBorder="1" applyAlignment="1">
      <alignment horizontal="right" vertical="center" wrapText="1" indent="3"/>
    </xf>
    <xf numFmtId="3" fontId="3" fillId="10" borderId="4" xfId="0" applyNumberFormat="1" applyFont="1" applyFill="1" applyBorder="1" applyAlignment="1">
      <alignment horizontal="right" vertical="center" wrapText="1" indent="3"/>
    </xf>
    <xf numFmtId="4" fontId="6" fillId="10" borderId="4" xfId="0" applyNumberFormat="1" applyFont="1" applyFill="1" applyBorder="1" applyAlignment="1">
      <alignment horizontal="right" vertical="center" wrapText="1" indent="3"/>
    </xf>
    <xf numFmtId="3" fontId="6" fillId="10" borderId="4" xfId="0" applyNumberFormat="1" applyFont="1" applyFill="1" applyBorder="1" applyAlignment="1">
      <alignment horizontal="right" vertical="center" wrapText="1" indent="3"/>
    </xf>
    <xf numFmtId="0" fontId="35" fillId="14" borderId="1" xfId="0" applyFont="1" applyFill="1" applyBorder="1" applyAlignment="1">
      <alignment horizontal="left" vertical="center" wrapText="1"/>
    </xf>
    <xf numFmtId="0" fontId="36" fillId="2" borderId="0" xfId="0" applyFont="1" applyFill="1"/>
    <xf numFmtId="0" fontId="36" fillId="2" borderId="0" xfId="0" applyFont="1" applyFill="1" applyAlignment="1">
      <alignment horizontal="center"/>
    </xf>
    <xf numFmtId="166" fontId="6" fillId="4" borderId="4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22" fillId="0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top"/>
    </xf>
    <xf numFmtId="0" fontId="37" fillId="2" borderId="0" xfId="0" applyFont="1" applyFill="1"/>
    <xf numFmtId="0" fontId="38" fillId="2" borderId="0" xfId="0" applyFont="1" applyFill="1"/>
    <xf numFmtId="0" fontId="0" fillId="2" borderId="0" xfId="0" applyFont="1" applyFill="1"/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 indent="2"/>
    </xf>
    <xf numFmtId="3" fontId="3" fillId="4" borderId="4" xfId="0" applyNumberFormat="1" applyFont="1" applyFill="1" applyBorder="1" applyAlignment="1">
      <alignment horizontal="right" vertical="center"/>
    </xf>
    <xf numFmtId="167" fontId="3" fillId="4" borderId="4" xfId="1" applyNumberFormat="1" applyFont="1" applyFill="1" applyBorder="1" applyAlignment="1">
      <alignment horizontal="right" vertical="center"/>
    </xf>
    <xf numFmtId="0" fontId="28" fillId="12" borderId="0" xfId="71" applyFont="1" applyFill="1" applyBorder="1" applyAlignment="1" applyProtection="1">
      <alignment horizontal="left" vertical="top" wrapText="1"/>
    </xf>
    <xf numFmtId="0" fontId="28" fillId="12" borderId="0" xfId="71" applyFont="1" applyFill="1" applyBorder="1" applyAlignment="1" applyProtection="1">
      <alignment horizontal="left" vertical="top" wrapText="1"/>
    </xf>
    <xf numFmtId="0" fontId="33" fillId="12" borderId="12" xfId="0" applyFont="1" applyFill="1" applyBorder="1" applyAlignment="1" applyProtection="1">
      <alignment horizontal="left" vertical="center" wrapText="1"/>
      <protection locked="0"/>
    </xf>
    <xf numFmtId="0" fontId="33" fillId="12" borderId="0" xfId="0" applyFont="1" applyFill="1" applyBorder="1" applyAlignment="1" applyProtection="1">
      <alignment horizontal="left" vertical="center" wrapText="1"/>
      <protection locked="0"/>
    </xf>
    <xf numFmtId="0" fontId="36" fillId="0" borderId="0" xfId="0" applyFont="1" applyFill="1" applyAlignment="1">
      <alignment horizontal="left" vertical="center" wrapText="1"/>
    </xf>
    <xf numFmtId="196" fontId="24" fillId="9" borderId="12" xfId="71" applyNumberFormat="1" applyFont="1" applyFill="1" applyBorder="1" applyAlignment="1" applyProtection="1">
      <alignment horizontal="left" vertical="center" wrapText="1"/>
      <protection hidden="1"/>
    </xf>
    <xf numFmtId="196" fontId="24" fillId="9" borderId="0" xfId="71" applyNumberFormat="1" applyFont="1" applyFill="1" applyBorder="1" applyAlignment="1" applyProtection="1">
      <alignment horizontal="left" vertical="center" wrapText="1"/>
      <protection hidden="1"/>
    </xf>
    <xf numFmtId="166" fontId="3" fillId="2" borderId="4" xfId="0" applyNumberFormat="1" applyFont="1" applyFill="1" applyBorder="1" applyAlignment="1">
      <alignment horizontal="right" vertical="center"/>
    </xf>
    <xf numFmtId="166" fontId="3" fillId="4" borderId="4" xfId="0" applyNumberFormat="1" applyFont="1" applyFill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left" vertical="center" wrapText="1" indent="3"/>
    </xf>
    <xf numFmtId="4" fontId="3" fillId="10" borderId="4" xfId="0" applyNumberFormat="1" applyFont="1" applyFill="1" applyBorder="1" applyAlignment="1">
      <alignment horizontal="left" vertical="center" wrapText="1" indent="3"/>
    </xf>
    <xf numFmtId="4" fontId="6" fillId="10" borderId="4" xfId="0" applyNumberFormat="1" applyFont="1" applyFill="1" applyBorder="1" applyAlignment="1">
      <alignment horizontal="left" vertical="center" wrapText="1" indent="3"/>
    </xf>
    <xf numFmtId="4" fontId="6" fillId="0" borderId="4" xfId="0" applyNumberFormat="1" applyFont="1" applyFill="1" applyBorder="1" applyAlignment="1">
      <alignment horizontal="left" vertical="center" wrapText="1" indent="3"/>
    </xf>
    <xf numFmtId="4" fontId="6" fillId="0" borderId="4" xfId="0" applyNumberFormat="1" applyFont="1" applyFill="1" applyBorder="1" applyAlignment="1">
      <alignment horizontal="right" vertical="center" wrapText="1" indent="3"/>
    </xf>
    <xf numFmtId="3" fontId="6" fillId="0" borderId="4" xfId="0" applyNumberFormat="1" applyFont="1" applyFill="1" applyBorder="1" applyAlignment="1">
      <alignment horizontal="right" vertical="center" wrapText="1" indent="3"/>
    </xf>
    <xf numFmtId="0" fontId="33" fillId="12" borderId="0" xfId="0" applyFont="1" applyFill="1" applyBorder="1" applyAlignment="1" applyProtection="1">
      <alignment vertical="center"/>
      <protection locked="0"/>
    </xf>
    <xf numFmtId="0" fontId="30" fillId="12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0" fontId="33" fillId="12" borderId="0" xfId="0" applyFont="1" applyFill="1" applyBorder="1" applyAlignment="1" applyProtection="1">
      <protection locked="0"/>
    </xf>
    <xf numFmtId="0" fontId="30" fillId="12" borderId="0" xfId="0" applyFont="1" applyFill="1" applyBorder="1" applyAlignment="1" applyProtection="1">
      <protection locked="0"/>
    </xf>
    <xf numFmtId="0" fontId="32" fillId="13" borderId="12" xfId="0" applyFont="1" applyFill="1" applyBorder="1" applyAlignment="1">
      <alignment horizontal="right" vertical="center"/>
    </xf>
    <xf numFmtId="0" fontId="32" fillId="13" borderId="10" xfId="0" applyFont="1" applyFill="1" applyBorder="1" applyAlignment="1">
      <alignment horizontal="right" vertical="center"/>
    </xf>
    <xf numFmtId="0" fontId="33" fillId="12" borderId="0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>
      <alignment horizontal="left" vertical="center" wrapText="1" indent="1"/>
    </xf>
    <xf numFmtId="0" fontId="3" fillId="4" borderId="3" xfId="0" applyFont="1" applyFill="1" applyBorder="1" applyAlignment="1">
      <alignment horizontal="left" vertical="center" wrapText="1" indent="1"/>
    </xf>
    <xf numFmtId="0" fontId="3" fillId="7" borderId="3" xfId="0" applyFont="1" applyFill="1" applyBorder="1" applyAlignment="1">
      <alignment horizontal="left" vertical="center" wrapText="1" indent="1"/>
    </xf>
    <xf numFmtId="198" fontId="6" fillId="2" borderId="4" xfId="0" applyNumberFormat="1" applyFont="1" applyFill="1" applyBorder="1" applyAlignment="1">
      <alignment horizontal="right" vertical="center"/>
    </xf>
    <xf numFmtId="198" fontId="6" fillId="4" borderId="4" xfId="1" applyNumberFormat="1" applyFont="1" applyFill="1" applyBorder="1" applyAlignment="1">
      <alignment horizontal="right" vertical="center"/>
    </xf>
    <xf numFmtId="199" fontId="6" fillId="2" borderId="4" xfId="0" applyNumberFormat="1" applyFont="1" applyFill="1" applyBorder="1" applyAlignment="1">
      <alignment horizontal="right" vertical="center"/>
    </xf>
    <xf numFmtId="199" fontId="6" fillId="4" borderId="4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top" wrapText="1"/>
    </xf>
    <xf numFmtId="0" fontId="2" fillId="0" borderId="0" xfId="0" applyFont="1"/>
    <xf numFmtId="0" fontId="6" fillId="2" borderId="0" xfId="0" applyFont="1" applyFill="1" applyBorder="1" applyAlignment="1">
      <alignment horizontal="left" vertical="center" wrapText="1" indent="2"/>
    </xf>
    <xf numFmtId="3" fontId="6" fillId="2" borderId="15" xfId="0" applyNumberFormat="1" applyFont="1" applyFill="1" applyBorder="1" applyAlignment="1">
      <alignment horizontal="right" vertical="center"/>
    </xf>
    <xf numFmtId="0" fontId="0" fillId="2" borderId="0" xfId="0" applyFont="1" applyFill="1" applyBorder="1"/>
    <xf numFmtId="0" fontId="5" fillId="3" borderId="18" xfId="0" applyFont="1" applyFill="1" applyBorder="1" applyAlignment="1">
      <alignment horizontal="left" vertical="center" wrapText="1"/>
    </xf>
    <xf numFmtId="165" fontId="5" fillId="3" borderId="2" xfId="0" applyNumberFormat="1" applyFont="1" applyFill="1" applyBorder="1" applyAlignment="1">
      <alignment horizontal="center" wrapText="1"/>
    </xf>
    <xf numFmtId="165" fontId="39" fillId="3" borderId="2" xfId="0" applyNumberFormat="1" applyFont="1" applyFill="1" applyBorder="1" applyAlignment="1">
      <alignment horizontal="center" wrapText="1"/>
    </xf>
    <xf numFmtId="166" fontId="40" fillId="4" borderId="4" xfId="0" applyNumberFormat="1" applyFont="1" applyFill="1" applyBorder="1" applyAlignment="1">
      <alignment horizontal="right" vertical="center"/>
    </xf>
    <xf numFmtId="166" fontId="40" fillId="2" borderId="4" xfId="0" applyNumberFormat="1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left" vertical="center" wrapText="1"/>
    </xf>
    <xf numFmtId="3" fontId="6" fillId="2" borderId="22" xfId="0" applyNumberFormat="1" applyFont="1" applyFill="1" applyBorder="1" applyAlignment="1">
      <alignment horizontal="right" vertical="center"/>
    </xf>
    <xf numFmtId="166" fontId="40" fillId="2" borderId="22" xfId="0" applyNumberFormat="1" applyFont="1" applyFill="1" applyBorder="1" applyAlignment="1">
      <alignment horizontal="right" vertical="center"/>
    </xf>
    <xf numFmtId="166" fontId="6" fillId="2" borderId="22" xfId="0" applyNumberFormat="1" applyFont="1" applyFill="1" applyBorder="1" applyAlignment="1">
      <alignment horizontal="right" vertical="center"/>
    </xf>
    <xf numFmtId="3" fontId="41" fillId="0" borderId="4" xfId="0" applyNumberFormat="1" applyFont="1" applyFill="1" applyBorder="1" applyAlignment="1">
      <alignment horizontal="right" vertical="center" wrapText="1" indent="3"/>
    </xf>
    <xf numFmtId="3" fontId="41" fillId="10" borderId="4" xfId="0" applyNumberFormat="1" applyFont="1" applyFill="1" applyBorder="1" applyAlignment="1">
      <alignment horizontal="right" vertical="center" wrapText="1" indent="3"/>
    </xf>
    <xf numFmtId="166" fontId="6" fillId="2" borderId="4" xfId="0" applyNumberFormat="1" applyFont="1" applyFill="1" applyBorder="1" applyAlignment="1">
      <alignment horizontal="right" vertical="center"/>
    </xf>
    <xf numFmtId="3" fontId="6" fillId="4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3" fontId="3" fillId="4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left" vertical="center" wrapText="1" indent="2"/>
    </xf>
    <xf numFmtId="3" fontId="11" fillId="2" borderId="4" xfId="0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center" vertical="center" wrapText="1"/>
    </xf>
    <xf numFmtId="167" fontId="11" fillId="2" borderId="4" xfId="1" applyNumberFormat="1" applyFont="1" applyFill="1" applyBorder="1" applyAlignment="1">
      <alignment horizontal="right" vertical="center"/>
    </xf>
    <xf numFmtId="0" fontId="0" fillId="0" borderId="0" xfId="0"/>
    <xf numFmtId="0" fontId="0" fillId="2" borderId="0" xfId="0" applyFont="1" applyFill="1"/>
    <xf numFmtId="0" fontId="5" fillId="3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/>
    </xf>
    <xf numFmtId="165" fontId="5" fillId="3" borderId="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166" fontId="6" fillId="2" borderId="4" xfId="0" applyNumberFormat="1" applyFont="1" applyFill="1" applyBorder="1" applyAlignment="1">
      <alignment horizontal="right" vertical="center"/>
    </xf>
    <xf numFmtId="3" fontId="6" fillId="4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3" fontId="3" fillId="4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0" fontId="6" fillId="7" borderId="3" xfId="0" applyFont="1" applyFill="1" applyBorder="1" applyAlignment="1">
      <alignment horizontal="left" vertical="center" wrapText="1"/>
    </xf>
    <xf numFmtId="166" fontId="6" fillId="4" borderId="4" xfId="0" applyNumberFormat="1" applyFont="1" applyFill="1" applyBorder="1" applyAlignment="1">
      <alignment horizontal="right" vertical="center"/>
    </xf>
    <xf numFmtId="166" fontId="3" fillId="2" borderId="4" xfId="0" applyNumberFormat="1" applyFont="1" applyFill="1" applyBorder="1" applyAlignment="1">
      <alignment horizontal="right" vertical="center"/>
    </xf>
    <xf numFmtId="166" fontId="3" fillId="4" borderId="4" xfId="0" applyNumberFormat="1" applyFont="1" applyFill="1" applyBorder="1" applyAlignment="1">
      <alignment horizontal="right" vertical="center"/>
    </xf>
    <xf numFmtId="3" fontId="11" fillId="4" borderId="4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165" fontId="5" fillId="3" borderId="30" xfId="0" applyNumberFormat="1" applyFont="1" applyFill="1" applyBorder="1" applyAlignment="1">
      <alignment horizontal="center" vertical="center" wrapText="1"/>
    </xf>
    <xf numFmtId="166" fontId="3" fillId="2" borderId="28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166" fontId="3" fillId="4" borderId="28" xfId="0" applyNumberFormat="1" applyFont="1" applyFill="1" applyBorder="1" applyAlignment="1">
      <alignment horizontal="right" vertical="center"/>
    </xf>
    <xf numFmtId="3" fontId="3" fillId="4" borderId="3" xfId="0" applyNumberFormat="1" applyFont="1" applyFill="1" applyBorder="1" applyAlignment="1">
      <alignment horizontal="right" vertical="center"/>
    </xf>
    <xf numFmtId="0" fontId="3" fillId="7" borderId="3" xfId="0" applyFont="1" applyFill="1" applyBorder="1" applyAlignment="1">
      <alignment horizontal="left" vertical="center" wrapText="1"/>
    </xf>
    <xf numFmtId="3" fontId="3" fillId="2" borderId="30" xfId="0" applyNumberFormat="1" applyFont="1" applyFill="1" applyBorder="1" applyAlignment="1">
      <alignment horizontal="right" vertical="center"/>
    </xf>
    <xf numFmtId="3" fontId="3" fillId="2" borderId="28" xfId="0" applyNumberFormat="1" applyFont="1" applyFill="1" applyBorder="1" applyAlignment="1">
      <alignment horizontal="right" vertical="center"/>
    </xf>
    <xf numFmtId="0" fontId="45" fillId="2" borderId="3" xfId="0" applyFont="1" applyFill="1" applyBorder="1" applyAlignment="1">
      <alignment horizontal="center" vertical="center" wrapText="1"/>
    </xf>
    <xf numFmtId="166" fontId="46" fillId="2" borderId="4" xfId="0" applyNumberFormat="1" applyFont="1" applyFill="1" applyBorder="1" applyAlignment="1">
      <alignment horizontal="right" vertical="center"/>
    </xf>
    <xf numFmtId="0" fontId="45" fillId="4" borderId="3" xfId="0" applyFont="1" applyFill="1" applyBorder="1" applyAlignment="1">
      <alignment horizontal="center" vertical="center" wrapText="1"/>
    </xf>
    <xf numFmtId="166" fontId="46" fillId="4" borderId="4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top" wrapText="1"/>
    </xf>
    <xf numFmtId="0" fontId="33" fillId="12" borderId="12" xfId="0" applyFont="1" applyFill="1" applyBorder="1" applyAlignment="1" applyProtection="1">
      <alignment horizontal="left" vertical="center" wrapText="1"/>
      <protection locked="0"/>
    </xf>
    <xf numFmtId="0" fontId="33" fillId="12" borderId="0" xfId="0" applyFont="1" applyFill="1" applyBorder="1" applyAlignment="1" applyProtection="1">
      <alignment horizontal="left" vertical="center" wrapText="1"/>
      <protection locked="0"/>
    </xf>
    <xf numFmtId="165" fontId="5" fillId="3" borderId="17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3" fontId="6" fillId="2" borderId="28" xfId="0" applyNumberFormat="1" applyFont="1" applyFill="1" applyBorder="1" applyAlignment="1">
      <alignment horizontal="right" vertical="center"/>
    </xf>
    <xf numFmtId="166" fontId="46" fillId="2" borderId="28" xfId="0" applyNumberFormat="1" applyFont="1" applyFill="1" applyBorder="1" applyAlignment="1">
      <alignment horizontal="right" vertical="center"/>
    </xf>
    <xf numFmtId="166" fontId="46" fillId="4" borderId="28" xfId="0" applyNumberFormat="1" applyFont="1" applyFill="1" applyBorder="1" applyAlignment="1">
      <alignment horizontal="right" vertical="center"/>
    </xf>
    <xf numFmtId="3" fontId="3" fillId="4" borderId="28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left" vertical="center"/>
    </xf>
    <xf numFmtId="166" fontId="3" fillId="2" borderId="3" xfId="0" applyNumberFormat="1" applyFont="1" applyFill="1" applyBorder="1" applyAlignment="1">
      <alignment horizontal="right" vertical="center"/>
    </xf>
    <xf numFmtId="3" fontId="6" fillId="2" borderId="29" xfId="0" applyNumberFormat="1" applyFont="1" applyFill="1" applyBorder="1" applyAlignment="1">
      <alignment horizontal="right" vertical="center"/>
    </xf>
    <xf numFmtId="3" fontId="6" fillId="2" borderId="30" xfId="0" applyNumberFormat="1" applyFont="1" applyFill="1" applyBorder="1" applyAlignment="1">
      <alignment horizontal="right" vertical="center"/>
    </xf>
    <xf numFmtId="3" fontId="3" fillId="4" borderId="31" xfId="0" applyNumberFormat="1" applyFont="1" applyFill="1" applyBorder="1" applyAlignment="1">
      <alignment horizontal="right" vertical="center"/>
    </xf>
    <xf numFmtId="166" fontId="3" fillId="4" borderId="3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166" fontId="47" fillId="2" borderId="3" xfId="0" applyNumberFormat="1" applyFont="1" applyFill="1" applyBorder="1" applyAlignment="1">
      <alignment horizontal="right" vertical="center"/>
    </xf>
    <xf numFmtId="166" fontId="47" fillId="2" borderId="4" xfId="0" applyNumberFormat="1" applyFont="1" applyFill="1" applyBorder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8" fillId="2" borderId="0" xfId="0" applyFont="1" applyFill="1" applyAlignment="1">
      <alignment horizontal="center" vertical="top"/>
    </xf>
    <xf numFmtId="0" fontId="38" fillId="2" borderId="0" xfId="0" applyFont="1" applyFill="1" applyAlignment="1">
      <alignment horizontal="center" vertical="top" wrapText="1"/>
    </xf>
    <xf numFmtId="165" fontId="5" fillId="3" borderId="17" xfId="0" applyNumberFormat="1" applyFont="1" applyFill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top"/>
    </xf>
    <xf numFmtId="0" fontId="38" fillId="0" borderId="32" xfId="0" applyFont="1" applyBorder="1" applyAlignment="1">
      <alignment horizontal="center" vertical="top"/>
    </xf>
    <xf numFmtId="0" fontId="38" fillId="0" borderId="0" xfId="0" applyFont="1" applyBorder="1" applyAlignment="1">
      <alignment horizontal="center" vertical="top"/>
    </xf>
    <xf numFmtId="165" fontId="0" fillId="2" borderId="0" xfId="0" applyNumberFormat="1" applyFont="1" applyFill="1"/>
    <xf numFmtId="165" fontId="6" fillId="2" borderId="3" xfId="0" applyNumberFormat="1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right" vertical="center"/>
    </xf>
    <xf numFmtId="3" fontId="6" fillId="2" borderId="29" xfId="0" applyNumberFormat="1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left" vertical="center"/>
    </xf>
    <xf numFmtId="200" fontId="6" fillId="4" borderId="4" xfId="0" applyNumberFormat="1" applyFont="1" applyFill="1" applyBorder="1" applyAlignment="1">
      <alignment horizontal="right" vertical="center"/>
    </xf>
    <xf numFmtId="200" fontId="6" fillId="2" borderId="4" xfId="0" applyNumberFormat="1" applyFont="1" applyFill="1" applyBorder="1" applyAlignment="1">
      <alignment horizontal="right" vertical="center"/>
    </xf>
    <xf numFmtId="0" fontId="28" fillId="12" borderId="0" xfId="71" applyFont="1" applyFill="1" applyBorder="1" applyAlignment="1" applyProtection="1">
      <alignment horizontal="left" vertical="top" wrapText="1"/>
    </xf>
    <xf numFmtId="165" fontId="5" fillId="3" borderId="17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textRotation="90" wrapText="1"/>
    </xf>
    <xf numFmtId="0" fontId="28" fillId="12" borderId="0" xfId="71" applyFont="1" applyFill="1" applyBorder="1" applyAlignment="1" applyProtection="1">
      <alignment horizontal="left" vertical="top" wrapText="1"/>
    </xf>
    <xf numFmtId="0" fontId="26" fillId="13" borderId="14" xfId="71" applyFont="1" applyFill="1" applyBorder="1" applyAlignment="1">
      <alignment horizontal="center" vertical="center"/>
    </xf>
    <xf numFmtId="0" fontId="26" fillId="13" borderId="13" xfId="71" applyFont="1" applyFill="1" applyBorder="1" applyAlignment="1">
      <alignment horizontal="center" vertical="center"/>
    </xf>
    <xf numFmtId="0" fontId="26" fillId="13" borderId="16" xfId="71" applyFont="1" applyFill="1" applyBorder="1" applyAlignment="1">
      <alignment horizontal="center" vertical="center"/>
    </xf>
    <xf numFmtId="0" fontId="38" fillId="0" borderId="33" xfId="0" applyFont="1" applyBorder="1" applyAlignment="1">
      <alignment horizontal="center" vertical="top"/>
    </xf>
    <xf numFmtId="0" fontId="38" fillId="0" borderId="32" xfId="0" applyFont="1" applyBorder="1" applyAlignment="1">
      <alignment horizontal="center" vertical="top"/>
    </xf>
    <xf numFmtId="0" fontId="33" fillId="12" borderId="12" xfId="0" applyFont="1" applyFill="1" applyBorder="1" applyAlignment="1" applyProtection="1">
      <alignment horizontal="left" vertical="center" wrapText="1"/>
      <protection locked="0"/>
    </xf>
    <xf numFmtId="0" fontId="33" fillId="12" borderId="0" xfId="0" applyFont="1" applyFill="1" applyBorder="1" applyAlignment="1" applyProtection="1">
      <alignment horizontal="left" vertical="center" wrapText="1"/>
      <protection locked="0"/>
    </xf>
    <xf numFmtId="165" fontId="5" fillId="3" borderId="19" xfId="0" applyNumberFormat="1" applyFont="1" applyFill="1" applyBorder="1" applyAlignment="1">
      <alignment horizontal="center" vertical="center" wrapText="1"/>
    </xf>
    <xf numFmtId="165" fontId="5" fillId="3" borderId="20" xfId="0" applyNumberFormat="1" applyFont="1" applyFill="1" applyBorder="1" applyAlignment="1">
      <alignment horizontal="center" vertical="center" wrapText="1"/>
    </xf>
    <xf numFmtId="165" fontId="5" fillId="3" borderId="18" xfId="0" applyNumberFormat="1" applyFont="1" applyFill="1" applyBorder="1" applyAlignment="1">
      <alignment horizontal="center" vertical="center" wrapText="1"/>
    </xf>
    <xf numFmtId="165" fontId="5" fillId="3" borderId="0" xfId="0" applyNumberFormat="1" applyFont="1" applyFill="1" applyBorder="1" applyAlignment="1">
      <alignment horizontal="center" vertical="center" wrapText="1"/>
    </xf>
  </cellXfs>
  <cellStyles count="113">
    <cellStyle name="0mitP" xfId="14" xr:uid="{00000000-0005-0000-0000-000000000000}"/>
    <cellStyle name="0ohneP" xfId="15" xr:uid="{00000000-0005-0000-0000-000001000000}"/>
    <cellStyle name="10mitP" xfId="16" xr:uid="{00000000-0005-0000-0000-000002000000}"/>
    <cellStyle name="12mitP" xfId="17" xr:uid="{00000000-0005-0000-0000-000003000000}"/>
    <cellStyle name="12ohneP" xfId="18" xr:uid="{00000000-0005-0000-0000-000004000000}"/>
    <cellStyle name="13mitP" xfId="19" xr:uid="{00000000-0005-0000-0000-000005000000}"/>
    <cellStyle name="1mitP" xfId="20" xr:uid="{00000000-0005-0000-0000-000006000000}"/>
    <cellStyle name="1ohneP" xfId="21" xr:uid="{00000000-0005-0000-0000-000007000000}"/>
    <cellStyle name="2mitP" xfId="22" xr:uid="{00000000-0005-0000-0000-000008000000}"/>
    <cellStyle name="2ohneP" xfId="23" xr:uid="{00000000-0005-0000-0000-000009000000}"/>
    <cellStyle name="2x indented GHG Textfiels" xfId="5" xr:uid="{00000000-0005-0000-0000-00000A000000}"/>
    <cellStyle name="2x indented GHG Textfiels 2" xfId="81" xr:uid="{00000000-0005-0000-0000-000001000000}"/>
    <cellStyle name="3mitP" xfId="24" xr:uid="{00000000-0005-0000-0000-00000B000000}"/>
    <cellStyle name="3ohneP" xfId="25" xr:uid="{00000000-0005-0000-0000-00000C000000}"/>
    <cellStyle name="4mitP" xfId="26" xr:uid="{00000000-0005-0000-0000-00000D000000}"/>
    <cellStyle name="4ohneP" xfId="27" xr:uid="{00000000-0005-0000-0000-00000E000000}"/>
    <cellStyle name="5x indented GHG Textfiels" xfId="6" xr:uid="{00000000-0005-0000-0000-00000F000000}"/>
    <cellStyle name="5x indented GHG Textfiels 2" xfId="82" xr:uid="{00000000-0005-0000-0000-000003000000}"/>
    <cellStyle name="5x indented GHG Textfiels 3" xfId="80" xr:uid="{00000000-0005-0000-0000-000004000000}"/>
    <cellStyle name="6mitP" xfId="28" xr:uid="{00000000-0005-0000-0000-000010000000}"/>
    <cellStyle name="6ohneP" xfId="29" xr:uid="{00000000-0005-0000-0000-000011000000}"/>
    <cellStyle name="7mitP" xfId="30" xr:uid="{00000000-0005-0000-0000-000012000000}"/>
    <cellStyle name="9mitP" xfId="31" xr:uid="{00000000-0005-0000-0000-000013000000}"/>
    <cellStyle name="9ohneP" xfId="32" xr:uid="{00000000-0005-0000-0000-000014000000}"/>
    <cellStyle name="A4 Auto Format" xfId="33" xr:uid="{00000000-0005-0000-0000-000015000000}"/>
    <cellStyle name="A4 Auto Format 2" xfId="4" xr:uid="{00000000-0005-0000-0000-000016000000}"/>
    <cellStyle name="A4 Auto Format 2 2" xfId="34" xr:uid="{00000000-0005-0000-0000-000017000000}"/>
    <cellStyle name="A4 Gg" xfId="35" xr:uid="{00000000-0005-0000-0000-000018000000}"/>
    <cellStyle name="A4 Gg 2" xfId="36" xr:uid="{00000000-0005-0000-0000-000019000000}"/>
    <cellStyle name="A4 kg" xfId="37" xr:uid="{00000000-0005-0000-0000-00001A000000}"/>
    <cellStyle name="A4 kg 2" xfId="38" xr:uid="{00000000-0005-0000-0000-00001B000000}"/>
    <cellStyle name="A4 kt" xfId="39" xr:uid="{00000000-0005-0000-0000-00001C000000}"/>
    <cellStyle name="A4 kt 2" xfId="40" xr:uid="{00000000-0005-0000-0000-00001D000000}"/>
    <cellStyle name="A4 No Format" xfId="41" xr:uid="{00000000-0005-0000-0000-00001E000000}"/>
    <cellStyle name="A4 No Format 2" xfId="42" xr:uid="{00000000-0005-0000-0000-00001F000000}"/>
    <cellStyle name="A4 No Format 2 2" xfId="43" xr:uid="{00000000-0005-0000-0000-000020000000}"/>
    <cellStyle name="A4 Normal" xfId="44" xr:uid="{00000000-0005-0000-0000-000021000000}"/>
    <cellStyle name="A4 Normal 2" xfId="3" xr:uid="{00000000-0005-0000-0000-000022000000}"/>
    <cellStyle name="A4 Normal 2 2" xfId="45" xr:uid="{00000000-0005-0000-0000-000023000000}"/>
    <cellStyle name="A4 Stck" xfId="46" xr:uid="{00000000-0005-0000-0000-000024000000}"/>
    <cellStyle name="A4 Stck 2" xfId="47" xr:uid="{00000000-0005-0000-0000-000025000000}"/>
    <cellStyle name="A4 Stk" xfId="48" xr:uid="{00000000-0005-0000-0000-000026000000}"/>
    <cellStyle name="A4 Stk 2" xfId="49" xr:uid="{00000000-0005-0000-0000-000027000000}"/>
    <cellStyle name="A4 T.Stk" xfId="50" xr:uid="{00000000-0005-0000-0000-000028000000}"/>
    <cellStyle name="A4 T.Stk 2" xfId="51" xr:uid="{00000000-0005-0000-0000-000029000000}"/>
    <cellStyle name="A4 TJ" xfId="52" xr:uid="{00000000-0005-0000-0000-00002A000000}"/>
    <cellStyle name="A4 TJ 2" xfId="53" xr:uid="{00000000-0005-0000-0000-00002B000000}"/>
    <cellStyle name="A4 TStk" xfId="54" xr:uid="{00000000-0005-0000-0000-00002C000000}"/>
    <cellStyle name="A4 TStk 2" xfId="55" xr:uid="{00000000-0005-0000-0000-00002D000000}"/>
    <cellStyle name="A4 Year" xfId="56" xr:uid="{00000000-0005-0000-0000-00002E000000}"/>
    <cellStyle name="A4 Year 2" xfId="57" xr:uid="{00000000-0005-0000-0000-00002F000000}"/>
    <cellStyle name="AggblueBoldCels" xfId="83" xr:uid="{00000000-0005-0000-0000-000005000000}"/>
    <cellStyle name="AggblueCels" xfId="84" xr:uid="{00000000-0005-0000-0000-000006000000}"/>
    <cellStyle name="AggBoldCells" xfId="85" xr:uid="{00000000-0005-0000-0000-000009000000}"/>
    <cellStyle name="AggCels" xfId="86" xr:uid="{00000000-0005-0000-0000-00000A000000}"/>
    <cellStyle name="AggGreen" xfId="87" xr:uid="{00000000-0005-0000-0000-00000B000000}"/>
    <cellStyle name="AggGreen12" xfId="88" xr:uid="{00000000-0005-0000-0000-00000C000000}"/>
    <cellStyle name="AggOrange" xfId="89" xr:uid="{00000000-0005-0000-0000-00000D000000}"/>
    <cellStyle name="AggOrange9" xfId="90" xr:uid="{00000000-0005-0000-0000-00000E000000}"/>
    <cellStyle name="AggOrangeLB_2x" xfId="91" xr:uid="{00000000-0005-0000-0000-00000F000000}"/>
    <cellStyle name="AggOrangeLBorder" xfId="92" xr:uid="{00000000-0005-0000-0000-000010000000}"/>
    <cellStyle name="AggOrangeRBorder" xfId="93" xr:uid="{00000000-0005-0000-0000-000011000000}"/>
    <cellStyle name="Bold GHG Numbers (0.00)" xfId="9" xr:uid="{00000000-0005-0000-0000-000030000000}"/>
    <cellStyle name="Constants" xfId="73" xr:uid="{79966350-D3CB-47A6-BE24-CFE7324A0034}"/>
    <cellStyle name="CustomCellsOrange" xfId="94" xr:uid="{00000000-0005-0000-0000-000014000000}"/>
    <cellStyle name="CustomizationCells" xfId="95" xr:uid="{00000000-0005-0000-0000-000015000000}"/>
    <cellStyle name="CustomizationGreenCells" xfId="96" xr:uid="{00000000-0005-0000-0000-000016000000}"/>
    <cellStyle name="DocBox_EmptyRow" xfId="97" xr:uid="{00000000-0005-0000-0000-000017000000}"/>
    <cellStyle name="Empty_B_border" xfId="77" xr:uid="{00000000-0005-0000-0000-000018000000}"/>
    <cellStyle name="Euro" xfId="58" xr:uid="{00000000-0005-0000-0000-000031000000}"/>
    <cellStyle name="Euro 2" xfId="59" xr:uid="{00000000-0005-0000-0000-000032000000}"/>
    <cellStyle name="Euro 2 2" xfId="60" xr:uid="{00000000-0005-0000-0000-000033000000}"/>
    <cellStyle name="Headline" xfId="10" xr:uid="{00000000-0005-0000-0000-000034000000}"/>
    <cellStyle name="InputCells" xfId="98" xr:uid="{00000000-0005-0000-0000-00001C000000}"/>
    <cellStyle name="InputCells12" xfId="99" xr:uid="{00000000-0005-0000-0000-00001D000000}"/>
    <cellStyle name="IntCells" xfId="100" xr:uid="{00000000-0005-0000-0000-00001E000000}"/>
    <cellStyle name="Komma 2" xfId="74" xr:uid="{00000000-0005-0000-0000-00001F000000}"/>
    <cellStyle name="Komma 2 2" xfId="112" xr:uid="{00000000-0005-0000-0000-00001F000000}"/>
    <cellStyle name="KP_thin_border_dark_grey" xfId="101" xr:uid="{00000000-0005-0000-0000-000020000000}"/>
    <cellStyle name="mitP" xfId="61" xr:uid="{00000000-0005-0000-0000-000035000000}"/>
    <cellStyle name="Normal 2" xfId="76" xr:uid="{00000000-0005-0000-0000-000022000000}"/>
    <cellStyle name="Normal 2 2" xfId="102" xr:uid="{00000000-0005-0000-0000-000023000000}"/>
    <cellStyle name="Normal 3" xfId="110" xr:uid="{00000000-0005-0000-0000-000024000000}"/>
    <cellStyle name="Normal GHG Numbers (0.00)" xfId="12" xr:uid="{00000000-0005-0000-0000-000036000000}"/>
    <cellStyle name="Normal GHG Numbers (0.00) 2" xfId="103" xr:uid="{00000000-0005-0000-0000-000025000000}"/>
    <cellStyle name="Normal GHG Textfiels Bold" xfId="8" xr:uid="{00000000-0005-0000-0000-000037000000}"/>
    <cellStyle name="Normal GHG Textfiels Bold 2" xfId="104" xr:uid="{00000000-0005-0000-0000-000026000000}"/>
    <cellStyle name="Normal GHG whole table" xfId="62" xr:uid="{00000000-0005-0000-0000-000038000000}"/>
    <cellStyle name="Normal GHG-Shade" xfId="13" xr:uid="{00000000-0005-0000-0000-000039000000}"/>
    <cellStyle name="Normal GHG-Shade 2" xfId="105" xr:uid="{00000000-0005-0000-0000-000029000000}"/>
    <cellStyle name="Normal GHG-Shade 3" xfId="79" xr:uid="{00000000-0005-0000-0000-00002A000000}"/>
    <cellStyle name="Normal GHG-Shade_DEU-2009-2007-v1.1" xfId="75" xr:uid="{00000000-0005-0000-0000-00002B000000}"/>
    <cellStyle name="Normal_HELP" xfId="63" xr:uid="{00000000-0005-0000-0000-00003A000000}"/>
    <cellStyle name="Normál_Munka1" xfId="106" xr:uid="{00000000-0005-0000-0000-00002D000000}"/>
    <cellStyle name="ohneP" xfId="64" xr:uid="{00000000-0005-0000-0000-00003B000000}"/>
    <cellStyle name="Pattern" xfId="65" xr:uid="{00000000-0005-0000-0000-00003C000000}"/>
    <cellStyle name="Prozent" xfId="1" builtinId="5"/>
    <cellStyle name="Prozent 2" xfId="11" xr:uid="{00000000-0005-0000-0000-00003E000000}"/>
    <cellStyle name="Prozent 2 2" xfId="66" xr:uid="{00000000-0005-0000-0000-00003F000000}"/>
    <cellStyle name="Shade" xfId="107" xr:uid="{00000000-0005-0000-0000-000030000000}"/>
    <cellStyle name="Standard" xfId="0" builtinId="0"/>
    <cellStyle name="Standard 2" xfId="2" xr:uid="{00000000-0005-0000-0000-000041000000}"/>
    <cellStyle name="Standard 2 2" xfId="67" xr:uid="{00000000-0005-0000-0000-000042000000}"/>
    <cellStyle name="Standard 2 2 2" xfId="68" xr:uid="{00000000-0005-0000-0000-000043000000}"/>
    <cellStyle name="Standard 2 2 2 2" xfId="111" xr:uid="{00000000-0005-0000-0000-000034000000}"/>
    <cellStyle name="Standard 2 2 3" xfId="78" xr:uid="{00000000-0005-0000-0000-000033000000}"/>
    <cellStyle name="Standard 2 3" xfId="109" xr:uid="{00000000-0005-0000-0000-000035000000}"/>
    <cellStyle name="Standard 3" xfId="7" xr:uid="{00000000-0005-0000-0000-000044000000}"/>
    <cellStyle name="Standard 3 2" xfId="69" xr:uid="{00000000-0005-0000-0000-000045000000}"/>
    <cellStyle name="Standard 3 3" xfId="71" xr:uid="{40DE01A5-0CE3-4112-BAA5-F77E05D6A5F1}"/>
    <cellStyle name="Standard_Germany - 2004 - 2000" xfId="72" xr:uid="{0CF9EB4E-80E6-4C2D-B899-356C5EB91CA3}"/>
    <cellStyle name="Гиперссылка" xfId="108" xr:uid="{00000000-0005-0000-0000-000038000000}"/>
    <cellStyle name="Обычный_2++" xfId="70" xr:uid="{00000000-0005-0000-0000-000046000000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1093213003702"/>
          <c:y val="1.4137223962112285E-2"/>
          <c:w val="0.81469390457696644"/>
          <c:h val="0.6832581532279504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'Daten Sektorgrafik'!$B$10</c:f>
              <c:strCache>
                <c:ptCount val="1"/>
                <c:pt idx="0">
                  <c:v>Energiewirtschaft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FFFFFF"/>
                    </a:solidFill>
                    <a:latin typeface="+mn-lt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'Daten Sektorgrafik'!$D$9:$AS$9</c:f>
              <c:strCach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 Schätzung</c:v>
                </c:pt>
                <c:pt idx="17">
                  <c:v>KSG-Ziel**
2030</c:v>
                </c:pt>
              </c:strCache>
            </c:strRef>
          </c:cat>
          <c:val>
            <c:numRef>
              <c:f>'Daten Sektorgrafik'!$D$10:$AS$10</c:f>
              <c:numCache>
                <c:formatCode>#,##0</c:formatCode>
                <c:ptCount val="18"/>
                <c:pt idx="0">
                  <c:v>372.63707419132606</c:v>
                </c:pt>
                <c:pt idx="1">
                  <c:v>367.70970245773702</c:v>
                </c:pt>
                <c:pt idx="2">
                  <c:v>379.34788118184304</c:v>
                </c:pt>
                <c:pt idx="3">
                  <c:v>383.70231874884473</c:v>
                </c:pt>
                <c:pt idx="4">
                  <c:v>362.725928282155</c:v>
                </c:pt>
                <c:pt idx="5">
                  <c:v>351.32140085469337</c:v>
                </c:pt>
                <c:pt idx="6">
                  <c:v>346.32871761389902</c:v>
                </c:pt>
                <c:pt idx="7">
                  <c:v>326.50069104369044</c:v>
                </c:pt>
                <c:pt idx="8">
                  <c:v>310.8510664619198</c:v>
                </c:pt>
                <c:pt idx="9">
                  <c:v>258.28302963996083</c:v>
                </c:pt>
                <c:pt idx="10">
                  <c:v>219.03765428068593</c:v>
                </c:pt>
                <c:pt idx="11">
                  <c:v>246.421430453738</c:v>
                </c:pt>
                <c:pt idx="12">
                  <c:v>256.67041825982216</c:v>
                </c:pt>
                <c:pt idx="13">
                  <c:v>202.58241705156237</c:v>
                </c:pt>
                <c:pt idx="14">
                  <c:v>184.99388634258281</c:v>
                </c:pt>
                <c:pt idx="17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4-4F10-8D56-A7762184C55E}"/>
            </c:ext>
          </c:extLst>
        </c:ser>
        <c:ser>
          <c:idx val="4"/>
          <c:order val="2"/>
          <c:tx>
            <c:strRef>
              <c:f>'Daten Sektorgrafik'!$B$11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8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Sektorgrafik'!$D$9:$AS$9</c:f>
              <c:strCach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 Schätzung</c:v>
                </c:pt>
                <c:pt idx="17">
                  <c:v>KSG-Ziel**
2030</c:v>
                </c:pt>
              </c:strCache>
            </c:strRef>
          </c:cat>
          <c:val>
            <c:numRef>
              <c:f>'Daten Sektorgrafik'!$D$11:$AS$11</c:f>
              <c:numCache>
                <c:formatCode>#,##0</c:formatCode>
                <c:ptCount val="18"/>
                <c:pt idx="0">
                  <c:v>184.05948457331422</c:v>
                </c:pt>
                <c:pt idx="1">
                  <c:v>182.19594994908741</c:v>
                </c:pt>
                <c:pt idx="2">
                  <c:v>177.38101732424116</c:v>
                </c:pt>
                <c:pt idx="3">
                  <c:v>177.04641104837395</c:v>
                </c:pt>
                <c:pt idx="4">
                  <c:v>176.28929367334746</c:v>
                </c:pt>
                <c:pt idx="5">
                  <c:v>183.01875305607606</c:v>
                </c:pt>
                <c:pt idx="6">
                  <c:v>186.83780660551463</c:v>
                </c:pt>
                <c:pt idx="7">
                  <c:v>192.58411720378123</c:v>
                </c:pt>
                <c:pt idx="8">
                  <c:v>184.96605950656451</c:v>
                </c:pt>
                <c:pt idx="9">
                  <c:v>179.31832500051271</c:v>
                </c:pt>
                <c:pt idx="10">
                  <c:v>172.5772476282672</c:v>
                </c:pt>
                <c:pt idx="11">
                  <c:v>180.29299681195212</c:v>
                </c:pt>
                <c:pt idx="12">
                  <c:v>164.3651491960417</c:v>
                </c:pt>
                <c:pt idx="13">
                  <c:v>152.92373867221883</c:v>
                </c:pt>
                <c:pt idx="14">
                  <c:v>153.00727310826122</c:v>
                </c:pt>
                <c:pt idx="17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4-4F10-8D56-A7762184C55E}"/>
            </c:ext>
          </c:extLst>
        </c:ser>
        <c:ser>
          <c:idx val="1"/>
          <c:order val="3"/>
          <c:tx>
            <c:strRef>
              <c:f>'Daten Sektorgrafik'!$B$12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0">
                    <a:solidFill>
                      <a:srgbClr val="FFFFFF"/>
                    </a:solidFill>
                    <a:latin typeface="+mn-lt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Sektorgrafik'!$D$9:$AS$9</c:f>
              <c:strCach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 Schätzung</c:v>
                </c:pt>
                <c:pt idx="17">
                  <c:v>KSG-Ziel**
2030</c:v>
                </c:pt>
              </c:strCache>
            </c:strRef>
          </c:cat>
          <c:val>
            <c:numRef>
              <c:f>'Daten Sektorgrafik'!$D$12:$AS$12</c:f>
              <c:numCache>
                <c:formatCode>#,##0</c:formatCode>
                <c:ptCount val="18"/>
                <c:pt idx="0">
                  <c:v>142.93341752797332</c:v>
                </c:pt>
                <c:pt idx="1">
                  <c:v>124.65741541667212</c:v>
                </c:pt>
                <c:pt idx="2">
                  <c:v>130.36904622321549</c:v>
                </c:pt>
                <c:pt idx="3">
                  <c:v>139.10951038067077</c:v>
                </c:pt>
                <c:pt idx="4">
                  <c:v>120.28892829877765</c:v>
                </c:pt>
                <c:pt idx="5">
                  <c:v>126.23930646152454</c:v>
                </c:pt>
                <c:pt idx="6">
                  <c:v>121.50468550106342</c:v>
                </c:pt>
                <c:pt idx="7">
                  <c:v>121.12996153484768</c:v>
                </c:pt>
                <c:pt idx="8">
                  <c:v>116.10950283078863</c:v>
                </c:pt>
                <c:pt idx="9">
                  <c:v>122.2961261778985</c:v>
                </c:pt>
                <c:pt idx="10">
                  <c:v>122.49711358722101</c:v>
                </c:pt>
                <c:pt idx="11">
                  <c:v>119.28678221917644</c:v>
                </c:pt>
                <c:pt idx="12">
                  <c:v>110.51463428514957</c:v>
                </c:pt>
                <c:pt idx="13">
                  <c:v>102.93300019870455</c:v>
                </c:pt>
                <c:pt idx="14">
                  <c:v>100.5362340247776</c:v>
                </c:pt>
                <c:pt idx="17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4-4F10-8D56-A7762184C55E}"/>
            </c:ext>
          </c:extLst>
        </c:ser>
        <c:ser>
          <c:idx val="2"/>
          <c:order val="4"/>
          <c:tx>
            <c:strRef>
              <c:f>'Daten Sektorgrafik'!$B$13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8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Sektorgrafik'!$D$9:$AS$9</c:f>
              <c:strCach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 Schätzung</c:v>
                </c:pt>
                <c:pt idx="17">
                  <c:v>KSG-Ziel**
2030</c:v>
                </c:pt>
              </c:strCache>
            </c:strRef>
          </c:cat>
          <c:val>
            <c:numRef>
              <c:f>'Daten Sektorgrafik'!$D$13:$AS$13</c:f>
              <c:numCache>
                <c:formatCode>#,##0</c:formatCode>
                <c:ptCount val="18"/>
                <c:pt idx="0">
                  <c:v>150.44816555507819</c:v>
                </c:pt>
                <c:pt idx="1">
                  <c:v>152.30492939454015</c:v>
                </c:pt>
                <c:pt idx="2">
                  <c:v>150.64147898377649</c:v>
                </c:pt>
                <c:pt idx="3">
                  <c:v>154.68203767280488</c:v>
                </c:pt>
                <c:pt idx="4">
                  <c:v>153.85280678059556</c:v>
                </c:pt>
                <c:pt idx="5">
                  <c:v>161.68112466493332</c:v>
                </c:pt>
                <c:pt idx="6">
                  <c:v>163.80382202437119</c:v>
                </c:pt>
                <c:pt idx="7">
                  <c:v>165.17642155141422</c:v>
                </c:pt>
                <c:pt idx="8">
                  <c:v>165.38061576785373</c:v>
                </c:pt>
                <c:pt idx="9">
                  <c:v>164.32397006995399</c:v>
                </c:pt>
                <c:pt idx="10">
                  <c:v>146.38574268349811</c:v>
                </c:pt>
                <c:pt idx="11">
                  <c:v>144.5990299664432</c:v>
                </c:pt>
                <c:pt idx="12">
                  <c:v>147.69087538349461</c:v>
                </c:pt>
                <c:pt idx="13">
                  <c:v>145.13115862852723</c:v>
                </c:pt>
                <c:pt idx="14">
                  <c:v>143.05476824815369</c:v>
                </c:pt>
                <c:pt idx="17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4-4F10-8D56-A7762184C55E}"/>
            </c:ext>
          </c:extLst>
        </c:ser>
        <c:ser>
          <c:idx val="5"/>
          <c:order val="5"/>
          <c:tx>
            <c:strRef>
              <c:f>'Daten Sektorgrafik'!$B$14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7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Sektorgrafik'!$D$9:$AS$9</c:f>
              <c:strCach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 Schätzung</c:v>
                </c:pt>
                <c:pt idx="17">
                  <c:v>KSG-Ziel**
2030</c:v>
                </c:pt>
              </c:strCache>
            </c:strRef>
          </c:cat>
          <c:val>
            <c:numRef>
              <c:f>'Daten Sektorgrafik'!$D$14:$AS$14</c:f>
              <c:numCache>
                <c:formatCode>#,##0</c:formatCode>
                <c:ptCount val="18"/>
                <c:pt idx="0">
                  <c:v>67.979732572680106</c:v>
                </c:pt>
                <c:pt idx="1">
                  <c:v>68.557851113472566</c:v>
                </c:pt>
                <c:pt idx="2">
                  <c:v>68.774308158249795</c:v>
                </c:pt>
                <c:pt idx="3">
                  <c:v>69.757923386340764</c:v>
                </c:pt>
                <c:pt idx="4">
                  <c:v>71.330205942200607</c:v>
                </c:pt>
                <c:pt idx="5">
                  <c:v>71.121936723247856</c:v>
                </c:pt>
                <c:pt idx="6">
                  <c:v>70.907819051021434</c:v>
                </c:pt>
                <c:pt idx="7">
                  <c:v>69.315035291692283</c:v>
                </c:pt>
                <c:pt idx="8">
                  <c:v>68.419822064311361</c:v>
                </c:pt>
                <c:pt idx="9">
                  <c:v>67.220276792805208</c:v>
                </c:pt>
                <c:pt idx="10">
                  <c:v>66.374140111942722</c:v>
                </c:pt>
                <c:pt idx="11">
                  <c:v>64.911079484091061</c:v>
                </c:pt>
                <c:pt idx="12">
                  <c:v>63.902022380878968</c:v>
                </c:pt>
                <c:pt idx="13">
                  <c:v>62.959986688698208</c:v>
                </c:pt>
                <c:pt idx="14">
                  <c:v>62.110993623271767</c:v>
                </c:pt>
                <c:pt idx="17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D4-4F10-8D56-A7762184C55E}"/>
            </c:ext>
          </c:extLst>
        </c:ser>
        <c:ser>
          <c:idx val="6"/>
          <c:order val="6"/>
          <c:tx>
            <c:strRef>
              <c:f>'Daten Sektorgrafik'!$B$15</c:f>
              <c:strCache>
                <c:ptCount val="1"/>
                <c:pt idx="0">
                  <c:v>Abfallwirtschaft und Sonstiges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'Daten Sektorgrafik'!$D$9:$AS$9</c:f>
              <c:strCach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 Schätzung</c:v>
                </c:pt>
                <c:pt idx="17">
                  <c:v>KSG-Ziel**
2030</c:v>
                </c:pt>
              </c:strCache>
            </c:strRef>
          </c:cat>
          <c:val>
            <c:numRef>
              <c:f>'Daten Sektorgrafik'!$D$15:$AS$15</c:f>
              <c:numCache>
                <c:formatCode>#,##0</c:formatCode>
                <c:ptCount val="18"/>
                <c:pt idx="0">
                  <c:v>12.191951804297188</c:v>
                </c:pt>
                <c:pt idx="1">
                  <c:v>11.309311816960442</c:v>
                </c:pt>
                <c:pt idx="2">
                  <c:v>10.4834533416133</c:v>
                </c:pt>
                <c:pt idx="3">
                  <c:v>9.6877307795737373</c:v>
                </c:pt>
                <c:pt idx="4">
                  <c:v>9.0623234858579433</c:v>
                </c:pt>
                <c:pt idx="5">
                  <c:v>8.443476428390623</c:v>
                </c:pt>
                <c:pt idx="6">
                  <c:v>7.9043758078803714</c:v>
                </c:pt>
                <c:pt idx="7">
                  <c:v>7.5258270473636477</c:v>
                </c:pt>
                <c:pt idx="8">
                  <c:v>7.1312752606781604</c:v>
                </c:pt>
                <c:pt idx="9">
                  <c:v>6.6063236655840223</c:v>
                </c:pt>
                <c:pt idx="10">
                  <c:v>6.1214434396600081</c:v>
                </c:pt>
                <c:pt idx="11">
                  <c:v>5.9154360453990105</c:v>
                </c:pt>
                <c:pt idx="12">
                  <c:v>5.6496139083900427</c:v>
                </c:pt>
                <c:pt idx="13">
                  <c:v>5.4900232878830186</c:v>
                </c:pt>
                <c:pt idx="14">
                  <c:v>5.355503945398727</c:v>
                </c:pt>
                <c:pt idx="1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D4-4F10-8D56-A7762184C55E}"/>
            </c:ext>
          </c:extLst>
        </c:ser>
        <c:ser>
          <c:idx val="9"/>
          <c:order val="7"/>
          <c:tx>
            <c:strRef>
              <c:f>'Daten Sektorgrafik'!$B$17</c:f>
              <c:strCache>
                <c:ptCount val="1"/>
                <c:pt idx="0">
                  <c:v>Ziele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solidFill>
                <a:srgbClr val="4D4D4D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700" b="1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Sektorgrafik'!$D$9:$AS$9</c:f>
              <c:strCach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 Schätzung</c:v>
                </c:pt>
                <c:pt idx="17">
                  <c:v>KSG-Ziel**
2030</c:v>
                </c:pt>
              </c:strCache>
            </c:strRef>
          </c:cat>
          <c:val>
            <c:numRef>
              <c:f>'Daten Sektorgrafik'!$D$17:$AS$17</c:f>
              <c:numCache>
                <c:formatCode>#,##0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A-61D4-4F10-8D56-A7762184C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001488"/>
        <c:axId val="304001880"/>
      </c:barChart>
      <c:lineChart>
        <c:grouping val="standard"/>
        <c:varyColors val="0"/>
        <c:ser>
          <c:idx val="7"/>
          <c:order val="0"/>
          <c:tx>
            <c:strRef>
              <c:f>'Daten Sektorgrafik'!$B$16</c:f>
              <c:strCache>
                <c:ptCount val="1"/>
                <c:pt idx="0">
                  <c:v>Summe THG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2.8451778742866089E-2"/>
                  <c:y val="-2.62982318980684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60-4B81-B8BA-F753987D131E}"/>
                </c:ext>
              </c:extLst>
            </c:dLbl>
            <c:dLbl>
              <c:idx val="2"/>
              <c:layout>
                <c:manualLayout>
                  <c:x val="-2.647935815259678E-2"/>
                  <c:y val="-2.6360949720851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60-4B81-B8BA-F753987D131E}"/>
                </c:ext>
              </c:extLst>
            </c:dLbl>
            <c:dLbl>
              <c:idx val="3"/>
              <c:layout>
                <c:manualLayout>
                  <c:x val="-2.6486968279283644E-2"/>
                  <c:y val="-2.9107557822047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60-4B81-B8BA-F753987D131E}"/>
                </c:ext>
              </c:extLst>
            </c:dLbl>
            <c:dLbl>
              <c:idx val="4"/>
              <c:layout>
                <c:manualLayout>
                  <c:x val="-2.6486975854331959E-2"/>
                  <c:y val="-2.3677004915890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60-4B81-B8BA-F753987D131E}"/>
                </c:ext>
              </c:extLst>
            </c:dLbl>
            <c:dLbl>
              <c:idx val="5"/>
              <c:layout>
                <c:manualLayout>
                  <c:x val="-2.648666517124541E-2"/>
                  <c:y val="-2.9190988335354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60-4B81-B8BA-F753987D131E}"/>
                </c:ext>
              </c:extLst>
            </c:dLbl>
            <c:dLbl>
              <c:idx val="6"/>
              <c:layout>
                <c:manualLayout>
                  <c:x val="-2.7265590969548316E-2"/>
                  <c:y val="-3.08502330344298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60-4B81-B8BA-F753987D131E}"/>
                </c:ext>
              </c:extLst>
            </c:dLbl>
            <c:spPr>
              <a:solidFill>
                <a:srgbClr val="4D4D4D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Sektorgrafik'!$D$9:$AS$9</c:f>
              <c:strCach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 Schätzung</c:v>
                </c:pt>
                <c:pt idx="17">
                  <c:v>KSG-Ziel**
2030</c:v>
                </c:pt>
              </c:strCache>
            </c:strRef>
          </c:cat>
          <c:val>
            <c:numRef>
              <c:f>'Daten Sektorgrafik'!$D$16:$AS$16</c:f>
              <c:numCache>
                <c:formatCode>#,##0</c:formatCode>
                <c:ptCount val="18"/>
                <c:pt idx="0">
                  <c:v>930.24982622466905</c:v>
                </c:pt>
                <c:pt idx="1">
                  <c:v>906.73516014846973</c:v>
                </c:pt>
                <c:pt idx="2">
                  <c:v>916.99718521293926</c:v>
                </c:pt>
                <c:pt idx="3">
                  <c:v>933.98593201660879</c:v>
                </c:pt>
                <c:pt idx="4">
                  <c:v>893.54948646293417</c:v>
                </c:pt>
                <c:pt idx="5">
                  <c:v>901.8259981888657</c:v>
                </c:pt>
                <c:pt idx="6">
                  <c:v>897.2872266037499</c:v>
                </c:pt>
                <c:pt idx="7">
                  <c:v>882.23205367278956</c:v>
                </c:pt>
                <c:pt idx="8">
                  <c:v>852.85834189211619</c:v>
                </c:pt>
                <c:pt idx="9">
                  <c:v>798.04805134671517</c:v>
                </c:pt>
                <c:pt idx="10">
                  <c:v>732.993341731275</c:v>
                </c:pt>
                <c:pt idx="11">
                  <c:v>761.42675498079984</c:v>
                </c:pt>
                <c:pt idx="12">
                  <c:v>748.79271341377705</c:v>
                </c:pt>
                <c:pt idx="13">
                  <c:v>672.0203245275942</c:v>
                </c:pt>
                <c:pt idx="14">
                  <c:v>649.05865929244578</c:v>
                </c:pt>
                <c:pt idx="17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1D4-4F10-8D56-A7762184C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001488"/>
        <c:axId val="304001880"/>
      </c:lineChart>
      <c:catAx>
        <c:axId val="3040014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800" baseline="0">
                <a:solidFill>
                  <a:srgbClr val="080808"/>
                </a:solidFill>
                <a:latin typeface="+mn-lt"/>
              </a:defRPr>
            </a:pPr>
            <a:endParaRPr lang="de-DE"/>
          </a:p>
        </c:txPr>
        <c:crossAx val="304001880"/>
        <c:crosses val="autoZero"/>
        <c:auto val="1"/>
        <c:lblAlgn val="ctr"/>
        <c:lblOffset val="100"/>
        <c:noMultiLvlLbl val="0"/>
      </c:catAx>
      <c:valAx>
        <c:axId val="304001880"/>
        <c:scaling>
          <c:orientation val="minMax"/>
          <c:max val="12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solidFill>
                      <a:srgbClr val="080808"/>
                    </a:solidFill>
                    <a:latin typeface="+mn-lt"/>
                    <a:cs typeface="Meta Offc" pitchFamily="34" charset="0"/>
                  </a:defRPr>
                </a:pPr>
                <a:r>
                  <a:rPr lang="en-US">
                    <a:latin typeface="+mn-lt"/>
                  </a:rPr>
                  <a:t>Mio. t CO2-Äquivalente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  <c:crossAx val="304001488"/>
        <c:crosses val="autoZero"/>
        <c:crossBetween val="between"/>
        <c:majorUnit val="200"/>
        <c:min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5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4898502942479512E-2"/>
          <c:y val="0.88130810067840559"/>
          <c:w val="0.85197069388581903"/>
          <c:h val="7.934584589269641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solidFill>
                <a:srgbClr val="080808"/>
              </a:solidFill>
              <a:latin typeface="+mn-lt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lineChart>
        <c:grouping val="standard"/>
        <c:varyColors val="0"/>
        <c:ser>
          <c:idx val="0"/>
          <c:order val="0"/>
          <c:tx>
            <c:strRef>
              <c:f>'Daten Zielpfadgrafik'!$B$12</c:f>
              <c:strCache>
                <c:ptCount val="1"/>
                <c:pt idx="0">
                  <c:v>1 - Energiewirtschaft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Zielpfadgrafik'!$D$12:$AR$12</c:f>
              <c:numCache>
                <c:formatCode>#,##0.0</c:formatCode>
                <c:ptCount val="13"/>
                <c:pt idx="0">
                  <c:v>310.8510664619198</c:v>
                </c:pt>
                <c:pt idx="1">
                  <c:v>258.28302963996083</c:v>
                </c:pt>
                <c:pt idx="2">
                  <c:v>219.03765428068593</c:v>
                </c:pt>
                <c:pt idx="3">
                  <c:v>246.421430453738</c:v>
                </c:pt>
                <c:pt idx="4">
                  <c:v>256.67041825982216</c:v>
                </c:pt>
                <c:pt idx="5">
                  <c:v>202.58241705156237</c:v>
                </c:pt>
                <c:pt idx="6">
                  <c:v>184.99388634258281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F-44EB-8B75-43BEF2626663}"/>
            </c:ext>
          </c:extLst>
        </c:ser>
        <c:ser>
          <c:idx val="6"/>
          <c:order val="1"/>
          <c:tx>
            <c:strRef>
              <c:f>'Daten Zielpfadgrafik'!$B$23:$C$23</c:f>
              <c:strCache>
                <c:ptCount val="2"/>
                <c:pt idx="0">
                  <c:v>1 - Energiewirtschaft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Zielpfadgrafik'!$D$23:$AR$23</c:f>
              <c:numCache>
                <c:formatCode>#,##0</c:formatCode>
                <c:ptCount val="13"/>
                <c:pt idx="2" formatCode="#,##0.0">
                  <c:v>280</c:v>
                </c:pt>
                <c:pt idx="3" formatCode="#,##0.0">
                  <c:v>#N/A</c:v>
                </c:pt>
                <c:pt idx="4" formatCode="#,##0.0">
                  <c:v>257</c:v>
                </c:pt>
                <c:pt idx="5" formatCode="#,##0.0">
                  <c:v>#N/A</c:v>
                </c:pt>
                <c:pt idx="6" formatCode="#,##0.0">
                  <c:v>#N/A</c:v>
                </c:pt>
                <c:pt idx="7" formatCode="#,##0.0">
                  <c:v>#N/A</c:v>
                </c:pt>
                <c:pt idx="8" formatCode="#,##0.0">
                  <c:v>#N/A</c:v>
                </c:pt>
                <c:pt idx="9" formatCode="#,##0.0">
                  <c:v>#N/A</c:v>
                </c:pt>
                <c:pt idx="10" formatCode="#,##0.0">
                  <c:v>#N/A</c:v>
                </c:pt>
                <c:pt idx="11" formatCode="#,##0.0">
                  <c:v>#N/A</c:v>
                </c:pt>
                <c:pt idx="12" formatCode="#,##0.0">
                  <c:v>107.9776140872485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FF-44EB-8B75-43BEF2626663}"/>
            </c:ext>
          </c:extLst>
        </c:ser>
        <c:ser>
          <c:idx val="1"/>
          <c:order val="2"/>
          <c:tx>
            <c:strRef>
              <c:f>'Daten Zielpfadgrafik'!$B$13</c:f>
              <c:strCache>
                <c:ptCount val="1"/>
                <c:pt idx="0">
                  <c:v>2 - Industrie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Zielpfadgrafik'!$D$13:$AR$13</c:f>
              <c:numCache>
                <c:formatCode>#,##0.0</c:formatCode>
                <c:ptCount val="13"/>
                <c:pt idx="0">
                  <c:v>184.96605950656451</c:v>
                </c:pt>
                <c:pt idx="1">
                  <c:v>179.31832500051271</c:v>
                </c:pt>
                <c:pt idx="2">
                  <c:v>172.5772476282672</c:v>
                </c:pt>
                <c:pt idx="3">
                  <c:v>180.29299681195212</c:v>
                </c:pt>
                <c:pt idx="4">
                  <c:v>164.3651491960417</c:v>
                </c:pt>
                <c:pt idx="5">
                  <c:v>152.92373867221883</c:v>
                </c:pt>
                <c:pt idx="6">
                  <c:v>153.00727310826122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F-44EB-8B75-43BEF2626663}"/>
            </c:ext>
          </c:extLst>
        </c:ser>
        <c:ser>
          <c:idx val="7"/>
          <c:order val="3"/>
          <c:tx>
            <c:strRef>
              <c:f>'Daten Zielpfadgrafik'!$B$24:$C$24</c:f>
              <c:strCache>
                <c:ptCount val="2"/>
                <c:pt idx="0">
                  <c:v>2 - Industrie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>
                    <a:alpha val="96000"/>
                  </a:schemeClr>
                </a:solidFill>
                <a:prstDash val="sysDot"/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Zielpfadgrafik'!$D$24:$AR$24</c:f>
              <c:numCache>
                <c:formatCode>#,##0</c:formatCode>
                <c:ptCount val="13"/>
                <c:pt idx="2" formatCode="#,##0.0">
                  <c:v>186</c:v>
                </c:pt>
                <c:pt idx="3" formatCode="#,##0.0">
                  <c:v>182</c:v>
                </c:pt>
                <c:pt idx="4" formatCode="#,##0.000">
                  <c:v>176.86086659631175</c:v>
                </c:pt>
                <c:pt idx="5" formatCode="#,##0.000">
                  <c:v>172.985406483856</c:v>
                </c:pt>
                <c:pt idx="6" formatCode="#,##0.000">
                  <c:v>168.85135902837558</c:v>
                </c:pt>
                <c:pt idx="7" formatCode="#,##0.000">
                  <c:v>163.49204001506132</c:v>
                </c:pt>
                <c:pt idx="8" formatCode="#,##0.000">
                  <c:v>155.49204001506132</c:v>
                </c:pt>
                <c:pt idx="9" formatCode="#,##0.000">
                  <c:v>146.49204001506132</c:v>
                </c:pt>
                <c:pt idx="10" formatCode="#,##0.000">
                  <c:v>138.49204001506132</c:v>
                </c:pt>
                <c:pt idx="11" formatCode="#,##0.000">
                  <c:v>131.49204001506129</c:v>
                </c:pt>
                <c:pt idx="12" formatCode="#,##0.000">
                  <c:v>124.49204001506129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9FF-44EB-8B75-43BEF2626663}"/>
            </c:ext>
          </c:extLst>
        </c:ser>
        <c:ser>
          <c:idx val="2"/>
          <c:order val="4"/>
          <c:tx>
            <c:strRef>
              <c:f>'Daten Zielpfadgrafik'!$B$14</c:f>
              <c:strCache>
                <c:ptCount val="1"/>
                <c:pt idx="0">
                  <c:v>3 - Gebäude</c:v>
                </c:pt>
              </c:strCache>
            </c:strRef>
          </c:tx>
          <c:spPr>
            <a:ln w="2540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Zielpfadgrafik'!$D$14:$AR$14</c:f>
              <c:numCache>
                <c:formatCode>#,##0.0</c:formatCode>
                <c:ptCount val="13"/>
                <c:pt idx="0">
                  <c:v>116.10950283078863</c:v>
                </c:pt>
                <c:pt idx="1">
                  <c:v>122.2961261778985</c:v>
                </c:pt>
                <c:pt idx="2">
                  <c:v>122.49711358722101</c:v>
                </c:pt>
                <c:pt idx="3">
                  <c:v>119.28678221917644</c:v>
                </c:pt>
                <c:pt idx="4">
                  <c:v>110.51463428514957</c:v>
                </c:pt>
                <c:pt idx="5">
                  <c:v>102.93300019870455</c:v>
                </c:pt>
                <c:pt idx="6">
                  <c:v>100.5362340247776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FF-44EB-8B75-43BEF2626663}"/>
            </c:ext>
          </c:extLst>
        </c:ser>
        <c:ser>
          <c:idx val="8"/>
          <c:order val="5"/>
          <c:tx>
            <c:strRef>
              <c:f>'Daten Zielpfadgrafik'!$B$25:$C$25</c:f>
              <c:strCache>
                <c:ptCount val="2"/>
                <c:pt idx="0">
                  <c:v>3 - Gebäude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Zielpfadgrafik'!$D$25:$AR$25</c:f>
              <c:numCache>
                <c:formatCode>#,##0</c:formatCode>
                <c:ptCount val="13"/>
                <c:pt idx="2" formatCode="#,##0.0">
                  <c:v>118</c:v>
                </c:pt>
                <c:pt idx="3" formatCode="#,##0.0">
                  <c:v>113</c:v>
                </c:pt>
                <c:pt idx="4" formatCode="#,##0.000">
                  <c:v>107.44154968536468</c:v>
                </c:pt>
                <c:pt idx="5" formatCode="#,##0.000">
                  <c:v>101.05379676576811</c:v>
                </c:pt>
                <c:pt idx="6" formatCode="#,##0.000">
                  <c:v>95.785339132491472</c:v>
                </c:pt>
                <c:pt idx="7" formatCode="#,##0.000">
                  <c:v>89.993523317110458</c:v>
                </c:pt>
                <c:pt idx="8" formatCode="#,##0.000">
                  <c:v>84.993523317110458</c:v>
                </c:pt>
                <c:pt idx="9" formatCode="#,##0.000">
                  <c:v>79.993523317110458</c:v>
                </c:pt>
                <c:pt idx="10" formatCode="#,##0.000">
                  <c:v>74.993523317110458</c:v>
                </c:pt>
                <c:pt idx="11" formatCode="#,##0.000">
                  <c:v>69.993523317110458</c:v>
                </c:pt>
                <c:pt idx="12" formatCode="#,##0.000">
                  <c:v>64.993523317110458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9FF-44EB-8B75-43BEF2626663}"/>
            </c:ext>
          </c:extLst>
        </c:ser>
        <c:ser>
          <c:idx val="3"/>
          <c:order val="6"/>
          <c:tx>
            <c:strRef>
              <c:f>'Daten Zielpfadgrafik'!$B$15</c:f>
              <c:strCache>
                <c:ptCount val="1"/>
                <c:pt idx="0">
                  <c:v>4 - Verkehr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Zielpfadgrafik'!$D$15:$AR$15</c:f>
              <c:numCache>
                <c:formatCode>#,##0.0</c:formatCode>
                <c:ptCount val="13"/>
                <c:pt idx="0">
                  <c:v>165.38061576785373</c:v>
                </c:pt>
                <c:pt idx="1">
                  <c:v>164.32397006995399</c:v>
                </c:pt>
                <c:pt idx="2">
                  <c:v>146.38574268349811</c:v>
                </c:pt>
                <c:pt idx="3">
                  <c:v>144.5990299664432</c:v>
                </c:pt>
                <c:pt idx="4">
                  <c:v>147.69087538349461</c:v>
                </c:pt>
                <c:pt idx="5">
                  <c:v>145.13115862852723</c:v>
                </c:pt>
                <c:pt idx="6">
                  <c:v>143.05476824815369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FF-44EB-8B75-43BEF2626663}"/>
            </c:ext>
          </c:extLst>
        </c:ser>
        <c:ser>
          <c:idx val="9"/>
          <c:order val="7"/>
          <c:tx>
            <c:strRef>
              <c:f>'Daten Zielpfadgrafik'!$B$26:$C$26</c:f>
              <c:strCache>
                <c:ptCount val="2"/>
                <c:pt idx="0">
                  <c:v>4 - Verkehr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ot"/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Zielpfadgrafik'!$D$26:$AR$26</c:f>
              <c:numCache>
                <c:formatCode>#,##0</c:formatCode>
                <c:ptCount val="13"/>
                <c:pt idx="2" formatCode="#,##0.0">
                  <c:v>150</c:v>
                </c:pt>
                <c:pt idx="3" formatCode="#,##0.0">
                  <c:v>145</c:v>
                </c:pt>
                <c:pt idx="4" formatCode="#,##0.000">
                  <c:v>138.80153267406732</c:v>
                </c:pt>
                <c:pt idx="5" formatCode="#,##0.000">
                  <c:v>132.74131421065542</c:v>
                </c:pt>
                <c:pt idx="6" formatCode="#,##0.000">
                  <c:v>124.97133643667371</c:v>
                </c:pt>
                <c:pt idx="7" formatCode="#,##0.000">
                  <c:v>116.95743113476038</c:v>
                </c:pt>
                <c:pt idx="8" formatCode="#,##0.000">
                  <c:v>110.95743113476038</c:v>
                </c:pt>
                <c:pt idx="9" formatCode="#,##0.000">
                  <c:v>105.95743113476038</c:v>
                </c:pt>
                <c:pt idx="10" formatCode="#,##0.000">
                  <c:v>98.957431134760384</c:v>
                </c:pt>
                <c:pt idx="11" formatCode="#,##0.000">
                  <c:v>89.957431134760384</c:v>
                </c:pt>
                <c:pt idx="12" formatCode="#,##0.000">
                  <c:v>78.957431134760384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9FF-44EB-8B75-43BEF2626663}"/>
            </c:ext>
          </c:extLst>
        </c:ser>
        <c:ser>
          <c:idx val="4"/>
          <c:order val="8"/>
          <c:tx>
            <c:strRef>
              <c:f>'Daten Zielpfadgrafik'!$B$16</c:f>
              <c:strCache>
                <c:ptCount val="1"/>
                <c:pt idx="0">
                  <c:v>5 - Landwirtschaft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Zielpfadgrafik'!$D$16:$AR$16</c:f>
              <c:numCache>
                <c:formatCode>#,##0.0</c:formatCode>
                <c:ptCount val="13"/>
                <c:pt idx="0">
                  <c:v>68.419822064311361</c:v>
                </c:pt>
                <c:pt idx="1">
                  <c:v>67.220276792805208</c:v>
                </c:pt>
                <c:pt idx="2">
                  <c:v>66.374140111942722</c:v>
                </c:pt>
                <c:pt idx="3">
                  <c:v>64.911079484091061</c:v>
                </c:pt>
                <c:pt idx="4">
                  <c:v>63.902022380878968</c:v>
                </c:pt>
                <c:pt idx="5">
                  <c:v>62.959986688698208</c:v>
                </c:pt>
                <c:pt idx="6">
                  <c:v>62.110993623271767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FF-44EB-8B75-43BEF2626663}"/>
            </c:ext>
          </c:extLst>
        </c:ser>
        <c:ser>
          <c:idx val="10"/>
          <c:order val="9"/>
          <c:tx>
            <c:strRef>
              <c:f>'Daten Zielpfadgrafik'!$B$27:$C$27</c:f>
              <c:strCache>
                <c:ptCount val="2"/>
                <c:pt idx="0">
                  <c:v>5 - Landwirtschaft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Zielpfadgrafik'!$D$27:$AR$27</c:f>
              <c:numCache>
                <c:formatCode>#,##0</c:formatCode>
                <c:ptCount val="13"/>
                <c:pt idx="2" formatCode="#,##0.0">
                  <c:v>70</c:v>
                </c:pt>
                <c:pt idx="3" formatCode="#,##0.0">
                  <c:v>68</c:v>
                </c:pt>
                <c:pt idx="4" formatCode="#,##0.000">
                  <c:v>67.592627518947467</c:v>
                </c:pt>
                <c:pt idx="5" formatCode="#,##0.000">
                  <c:v>67.362442884434003</c:v>
                </c:pt>
                <c:pt idx="6" formatCode="#,##0.000">
                  <c:v>66.991365198110543</c:v>
                </c:pt>
                <c:pt idx="7" formatCode="#,##0.000">
                  <c:v>65.804760460583651</c:v>
                </c:pt>
                <c:pt idx="8" formatCode="#,##0.000">
                  <c:v>64.804760460583651</c:v>
                </c:pt>
                <c:pt idx="9" formatCode="#,##0.000">
                  <c:v>63.804760460583658</c:v>
                </c:pt>
                <c:pt idx="10" formatCode="#,##0.000">
                  <c:v>61.804760460583658</c:v>
                </c:pt>
                <c:pt idx="11" formatCode="#,##0.000">
                  <c:v>59.804760460583658</c:v>
                </c:pt>
                <c:pt idx="12" formatCode="#,##0.000">
                  <c:v>58.804760460583658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FF-44EB-8B75-43BEF2626663}"/>
            </c:ext>
          </c:extLst>
        </c:ser>
        <c:ser>
          <c:idx val="5"/>
          <c:order val="10"/>
          <c:tx>
            <c:strRef>
              <c:f>'Daten Zielpfadgrafik'!$B$17</c:f>
              <c:strCache>
                <c:ptCount val="1"/>
                <c:pt idx="0">
                  <c:v>6 - Abfallwirtschaft und Sonstiges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Zielpfadgrafik'!$D$17:$AR$17</c:f>
              <c:numCache>
                <c:formatCode>#,##0.0</c:formatCode>
                <c:ptCount val="13"/>
                <c:pt idx="0">
                  <c:v>7.1312752606781604</c:v>
                </c:pt>
                <c:pt idx="1">
                  <c:v>6.6063236655840223</c:v>
                </c:pt>
                <c:pt idx="2">
                  <c:v>6.1214434396600081</c:v>
                </c:pt>
                <c:pt idx="3">
                  <c:v>5.9154360453990105</c:v>
                </c:pt>
                <c:pt idx="4">
                  <c:v>5.6496139083900427</c:v>
                </c:pt>
                <c:pt idx="5">
                  <c:v>5.4900232878830186</c:v>
                </c:pt>
                <c:pt idx="6">
                  <c:v>5.355503945398727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FF-44EB-8B75-43BEF2626663}"/>
            </c:ext>
          </c:extLst>
        </c:ser>
        <c:ser>
          <c:idx val="11"/>
          <c:order val="11"/>
          <c:tx>
            <c:strRef>
              <c:f>'Daten Zielpfadgrafik'!$B$28:$C$28</c:f>
              <c:strCache>
                <c:ptCount val="2"/>
                <c:pt idx="0">
                  <c:v>6 - Abfallwirtschaft und Sonstiges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Zielpfadgrafik'!$D$28:$AR$28</c:f>
              <c:numCache>
                <c:formatCode>#,##0</c:formatCode>
                <c:ptCount val="13"/>
                <c:pt idx="2" formatCode="#,##0.0">
                  <c:v>9</c:v>
                </c:pt>
                <c:pt idx="3" formatCode="#,##0.0">
                  <c:v>9</c:v>
                </c:pt>
                <c:pt idx="4" formatCode="#,##0.000">
                  <c:v>8.5006613839937355</c:v>
                </c:pt>
                <c:pt idx="5" formatCode="#,##0.000">
                  <c:v>8.8556929007255043</c:v>
                </c:pt>
                <c:pt idx="6" formatCode="#,##0.000">
                  <c:v>8.3365028454172894</c:v>
                </c:pt>
                <c:pt idx="7" formatCode="#,##0.000">
                  <c:v>8.8333359954203825</c:v>
                </c:pt>
                <c:pt idx="8" formatCode="#,##0.000">
                  <c:v>7.8333359954203834</c:v>
                </c:pt>
                <c:pt idx="9" formatCode="#,##0.000">
                  <c:v>7.8333359954203834</c:v>
                </c:pt>
                <c:pt idx="10" formatCode="#,##0.000">
                  <c:v>6.8333359954203834</c:v>
                </c:pt>
                <c:pt idx="11" formatCode="#,##0.000">
                  <c:v>6.8333359954203834</c:v>
                </c:pt>
                <c:pt idx="12" formatCode="#,##0.000">
                  <c:v>5.8333359954203834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9FF-44EB-8B75-43BEF2626663}"/>
            </c:ext>
          </c:extLst>
        </c:ser>
        <c:ser>
          <c:idx val="12"/>
          <c:order val="12"/>
          <c:tx>
            <c:strRef>
              <c:f>'Daten Zielpfadgrafik'!$B$11</c:f>
              <c:strCache>
                <c:ptCount val="1"/>
                <c:pt idx="0">
                  <c:v>0 - JEGM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Zielpfadgrafik'!$D$11:$AR$11</c:f>
              <c:numCache>
                <c:formatCode>#,##0.0</c:formatCode>
                <c:ptCount val="13"/>
                <c:pt idx="0">
                  <c:v>852.85834189211619</c:v>
                </c:pt>
                <c:pt idx="1">
                  <c:v>798.04805134671517</c:v>
                </c:pt>
                <c:pt idx="2">
                  <c:v>732.993341731275</c:v>
                </c:pt>
                <c:pt idx="3">
                  <c:v>761.42675498079984</c:v>
                </c:pt>
                <c:pt idx="4">
                  <c:v>748.79271341377705</c:v>
                </c:pt>
                <c:pt idx="5">
                  <c:v>672.0203245275942</c:v>
                </c:pt>
                <c:pt idx="6">
                  <c:v>649.05865929244578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4-4BC2-8C7C-C9CBF86DF951}"/>
            </c:ext>
          </c:extLst>
        </c:ser>
        <c:ser>
          <c:idx val="13"/>
          <c:order val="13"/>
          <c:tx>
            <c:strRef>
              <c:f>'Daten Zielpfadgrafik'!$B$22:$C$22</c:f>
              <c:strCache>
                <c:ptCount val="2"/>
                <c:pt idx="0">
                  <c:v>0 - JEGM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3175">
                <a:solidFill>
                  <a:srgbClr val="0070C0"/>
                </a:solidFill>
                <a:prstDash val="sysDot"/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Zielpfadgrafik'!$D$22:$AR$22</c:f>
              <c:numCache>
                <c:formatCode>#,##0</c:formatCode>
                <c:ptCount val="13"/>
                <c:pt idx="2" formatCode="#,##0.0">
                  <c:v>813</c:v>
                </c:pt>
                <c:pt idx="3" formatCode="#,##0.0">
                  <c:v>786</c:v>
                </c:pt>
                <c:pt idx="4" formatCode="#,##0.0">
                  <c:v>756</c:v>
                </c:pt>
                <c:pt idx="5" formatCode="#,##0.0">
                  <c:v>720</c:v>
                </c:pt>
                <c:pt idx="6" formatCode="#,##0.000">
                  <c:v>693.37952355627158</c:v>
                </c:pt>
                <c:pt idx="7" formatCode="#,##0.000">
                  <c:v>661.76633426690921</c:v>
                </c:pt>
                <c:pt idx="8" formatCode="#,##0.000">
                  <c:v>622.76633426690921</c:v>
                </c:pt>
                <c:pt idx="9" formatCode="#,##0.000">
                  <c:v>583.76633426690921</c:v>
                </c:pt>
                <c:pt idx="10" formatCode="#,##0.000">
                  <c:v>541.76633426690921</c:v>
                </c:pt>
                <c:pt idx="11" formatCode="#,##0.000">
                  <c:v>500.76633426690915</c:v>
                </c:pt>
                <c:pt idx="12" formatCode="#,##0.000">
                  <c:v>456.76633426690915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34-4BC2-8C7C-C9CBF86DF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Zielpfadgrafik'!$C$5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midCat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487728725852394E-2"/>
          <c:y val="0.78423956679549489"/>
          <c:w val="0.95581246656964092"/>
          <c:h val="0.21576043320450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lineChart>
        <c:grouping val="standard"/>
        <c:varyColors val="0"/>
        <c:ser>
          <c:idx val="12"/>
          <c:order val="0"/>
          <c:tx>
            <c:strRef>
              <c:f>'Daten Zielpfadgrafik'!$B$11</c:f>
              <c:strCache>
                <c:ptCount val="1"/>
                <c:pt idx="0">
                  <c:v>0 - JEGM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'Daten Zielpfadgrafik'!$AA$10:$AR$10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Zielpfadgrafik'!$D$11:$AR$11</c:f>
              <c:numCache>
                <c:formatCode>#,##0.0</c:formatCode>
                <c:ptCount val="13"/>
                <c:pt idx="0">
                  <c:v>852.85834189211619</c:v>
                </c:pt>
                <c:pt idx="1">
                  <c:v>798.04805134671517</c:v>
                </c:pt>
                <c:pt idx="2">
                  <c:v>732.993341731275</c:v>
                </c:pt>
                <c:pt idx="3">
                  <c:v>761.42675498079984</c:v>
                </c:pt>
                <c:pt idx="4">
                  <c:v>748.79271341377705</c:v>
                </c:pt>
                <c:pt idx="5">
                  <c:v>672.0203245275942</c:v>
                </c:pt>
                <c:pt idx="6">
                  <c:v>649.05865929244578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788-4B33-AEA0-28A9C39B19B1}"/>
            </c:ext>
          </c:extLst>
        </c:ser>
        <c:ser>
          <c:idx val="13"/>
          <c:order val="1"/>
          <c:tx>
            <c:strRef>
              <c:f>'Daten Zielpfadgrafik'!$B$22:$C$22</c:f>
              <c:strCache>
                <c:ptCount val="2"/>
                <c:pt idx="0">
                  <c:v>0 - JEGM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3175">
                <a:solidFill>
                  <a:srgbClr val="0070C0"/>
                </a:solidFill>
                <a:prstDash val="sysDash"/>
              </a:ln>
              <a:effectLst/>
            </c:spPr>
          </c:marker>
          <c:cat>
            <c:numRef>
              <c:f>'Daten Zielpfadgrafik'!$AA$10:$AR$10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Zielpfadgrafik'!$D$22:$AR$22</c:f>
              <c:numCache>
                <c:formatCode>#,##0</c:formatCode>
                <c:ptCount val="13"/>
                <c:pt idx="2" formatCode="#,##0.0">
                  <c:v>813</c:v>
                </c:pt>
                <c:pt idx="3" formatCode="#,##0.0">
                  <c:v>786</c:v>
                </c:pt>
                <c:pt idx="4" formatCode="#,##0.0">
                  <c:v>756</c:v>
                </c:pt>
                <c:pt idx="5" formatCode="#,##0.0">
                  <c:v>720</c:v>
                </c:pt>
                <c:pt idx="6" formatCode="#,##0.000">
                  <c:v>693.37952355627158</c:v>
                </c:pt>
                <c:pt idx="7" formatCode="#,##0.000">
                  <c:v>661.76633426690921</c:v>
                </c:pt>
                <c:pt idx="8" formatCode="#,##0.000">
                  <c:v>622.76633426690921</c:v>
                </c:pt>
                <c:pt idx="9" formatCode="#,##0.000">
                  <c:v>583.76633426690921</c:v>
                </c:pt>
                <c:pt idx="10" formatCode="#,##0.000">
                  <c:v>541.76633426690921</c:v>
                </c:pt>
                <c:pt idx="11" formatCode="#,##0.000">
                  <c:v>500.76633426690915</c:v>
                </c:pt>
                <c:pt idx="12" formatCode="#,##0.000">
                  <c:v>456.76633426690915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788-4B33-AEA0-28A9C39B19B1}"/>
            </c:ext>
          </c:extLst>
        </c:ser>
        <c:ser>
          <c:idx val="0"/>
          <c:order val="2"/>
          <c:tx>
            <c:strRef>
              <c:f>'Daten Zielpfadgrafik'!$B$251</c:f>
              <c:strCache>
                <c:ptCount val="1"/>
                <c:pt idx="0">
                  <c:v>0 - JEGM Ursprungspfad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numRef>
              <c:f>'Daten Zielpfadgrafik'!$AA$10:$AR$10</c:f>
              <c:numCache>
                <c:formatCode>yyyy</c:formatCode>
                <c:ptCount val="13"/>
                <c:pt idx="0">
                  <c:v>43101</c:v>
                </c:pt>
                <c:pt idx="1">
                  <c:v>43466</c:v>
                </c:pt>
                <c:pt idx="2">
                  <c:v>43831</c:v>
                </c:pt>
                <c:pt idx="3">
                  <c:v>44197</c:v>
                </c:pt>
                <c:pt idx="4">
                  <c:v>44562</c:v>
                </c:pt>
                <c:pt idx="5">
                  <c:v>44927</c:v>
                </c:pt>
                <c:pt idx="6">
                  <c:v>45292</c:v>
                </c:pt>
                <c:pt idx="7">
                  <c:v>45658</c:v>
                </c:pt>
                <c:pt idx="8">
                  <c:v>46023</c:v>
                </c:pt>
                <c:pt idx="9">
                  <c:v>46388</c:v>
                </c:pt>
                <c:pt idx="10">
                  <c:v>46753</c:v>
                </c:pt>
                <c:pt idx="11">
                  <c:v>47119</c:v>
                </c:pt>
                <c:pt idx="12">
                  <c:v>47484</c:v>
                </c:pt>
              </c:numCache>
            </c:numRef>
          </c:cat>
          <c:val>
            <c:numRef>
              <c:f>'Daten Zielpfadgrafik'!$D$251:$AR$251</c:f>
              <c:numCache>
                <c:formatCode>#,##0</c:formatCode>
                <c:ptCount val="13"/>
                <c:pt idx="2" formatCode="#,##0.0">
                  <c:v>813</c:v>
                </c:pt>
                <c:pt idx="3" formatCode="#,##0.0">
                  <c:v>786</c:v>
                </c:pt>
                <c:pt idx="4" formatCode="#,##0.0">
                  <c:v>756</c:v>
                </c:pt>
                <c:pt idx="5" formatCode="#,##0.0">
                  <c:v>720</c:v>
                </c:pt>
                <c:pt idx="6" formatCode="#,##0.0">
                  <c:v>682</c:v>
                </c:pt>
                <c:pt idx="7" formatCode="#,##0.0">
                  <c:v>643</c:v>
                </c:pt>
                <c:pt idx="8" formatCode="#,##0.0">
                  <c:v>604</c:v>
                </c:pt>
                <c:pt idx="9" formatCode="#,##0.0">
                  <c:v>565</c:v>
                </c:pt>
                <c:pt idx="10" formatCode="#,##0.0">
                  <c:v>523</c:v>
                </c:pt>
                <c:pt idx="11" formatCode="#,##0.0">
                  <c:v>482</c:v>
                </c:pt>
                <c:pt idx="12" formatCode="#,##0.0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3-41ED-B366-702F05016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  <c:min val="40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Zielpfadgrafik'!$C$5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midCat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487728725852394E-2"/>
          <c:y val="0.78423956679549489"/>
          <c:w val="0.33577937828861448"/>
          <c:h val="0.151167203895847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Energiew.'!$B$12</c:f>
              <c:strCache>
                <c:ptCount val="1"/>
                <c:pt idx="0">
                  <c:v>CRF 1.A.1 - Energiewirtschaft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Energiew.'!$D$11:$AR$11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Energiew.'!$D$12:$AR$12</c:f>
              <c:numCache>
                <c:formatCode>#,##0.0</c:formatCode>
                <c:ptCount val="21"/>
                <c:pt idx="0">
                  <c:v>359.52952492107164</c:v>
                </c:pt>
                <c:pt idx="1">
                  <c:v>355.00134322447798</c:v>
                </c:pt>
                <c:pt idx="2">
                  <c:v>366.04474533954317</c:v>
                </c:pt>
                <c:pt idx="3">
                  <c:v>371.02976980093564</c:v>
                </c:pt>
                <c:pt idx="4">
                  <c:v>351.69322360708844</c:v>
                </c:pt>
                <c:pt idx="5">
                  <c:v>340.41979339958704</c:v>
                </c:pt>
                <c:pt idx="6">
                  <c:v>336.64491238924114</c:v>
                </c:pt>
                <c:pt idx="7">
                  <c:v>317.00931662042819</c:v>
                </c:pt>
                <c:pt idx="8">
                  <c:v>302.85673756760809</c:v>
                </c:pt>
                <c:pt idx="9">
                  <c:v>252.36991567634036</c:v>
                </c:pt>
                <c:pt idx="10">
                  <c:v>214.16805675168911</c:v>
                </c:pt>
                <c:pt idx="11">
                  <c:v>241.57752891413347</c:v>
                </c:pt>
                <c:pt idx="12">
                  <c:v>251.56638924606543</c:v>
                </c:pt>
                <c:pt idx="13">
                  <c:v>198.06164429263734</c:v>
                </c:pt>
                <c:pt idx="14">
                  <c:v>180.58147339260449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B-481D-9576-99B77C4EFF68}"/>
            </c:ext>
          </c:extLst>
        </c:ser>
        <c:ser>
          <c:idx val="2"/>
          <c:order val="1"/>
          <c:tx>
            <c:strRef>
              <c:f>'Daten Sektor Energiew.'!$B$13</c:f>
              <c:strCache>
                <c:ptCount val="1"/>
                <c:pt idx="0">
                  <c:v>CRF 1.A.3.e - Erdgasverdichter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Energiew.'!$D$11:$AR$11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Energiew.'!$D$13:$AR$13</c:f>
              <c:numCache>
                <c:formatCode>#,##0.0</c:formatCode>
                <c:ptCount val="21"/>
                <c:pt idx="0">
                  <c:v>1.1911170131017597</c:v>
                </c:pt>
                <c:pt idx="1">
                  <c:v>1.2433532464600003</c:v>
                </c:pt>
                <c:pt idx="2">
                  <c:v>1.2525273939000798</c:v>
                </c:pt>
                <c:pt idx="3">
                  <c:v>1.4891857180473971</c:v>
                </c:pt>
                <c:pt idx="4">
                  <c:v>1.21085502038652</c:v>
                </c:pt>
                <c:pt idx="5">
                  <c:v>1.24728307069308</c:v>
                </c:pt>
                <c:pt idx="6">
                  <c:v>1.0601524458041403</c:v>
                </c:pt>
                <c:pt idx="7">
                  <c:v>1.2682462125871801</c:v>
                </c:pt>
                <c:pt idx="8">
                  <c:v>1.3469831013109099</c:v>
                </c:pt>
                <c:pt idx="9">
                  <c:v>1.2098986901477897</c:v>
                </c:pt>
                <c:pt idx="10">
                  <c:v>0.77768307961819971</c:v>
                </c:pt>
                <c:pt idx="11">
                  <c:v>0.84724022320094006</c:v>
                </c:pt>
                <c:pt idx="12">
                  <c:v>1.3453856555505599</c:v>
                </c:pt>
                <c:pt idx="13">
                  <c:v>0.9483268295262397</c:v>
                </c:pt>
                <c:pt idx="14">
                  <c:v>0.87569376857863979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2B-481D-9576-99B77C4EFF68}"/>
            </c:ext>
          </c:extLst>
        </c:ser>
        <c:ser>
          <c:idx val="1"/>
          <c:order val="2"/>
          <c:tx>
            <c:strRef>
              <c:f>'Daten Sektor Energiew.'!$B$14</c:f>
              <c:strCache>
                <c:ptCount val="1"/>
                <c:pt idx="0">
                  <c:v>CRF 1.B - Diffuse Emissionen aus Brennstoffen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Energiew.'!$D$11:$AR$11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Energiew.'!$D$14:$AR$14</c:f>
              <c:numCache>
                <c:formatCode>#,##0.0</c:formatCode>
                <c:ptCount val="21"/>
                <c:pt idx="0">
                  <c:v>11.916432257152598</c:v>
                </c:pt>
                <c:pt idx="1">
                  <c:v>11.465005986799035</c:v>
                </c:pt>
                <c:pt idx="2">
                  <c:v>12.050608448399801</c:v>
                </c:pt>
                <c:pt idx="3">
                  <c:v>11.183363229861717</c:v>
                </c:pt>
                <c:pt idx="4">
                  <c:v>9.8218496546800438</c:v>
                </c:pt>
                <c:pt idx="5">
                  <c:v>9.65432438441327</c:v>
                </c:pt>
                <c:pt idx="6">
                  <c:v>8.623652778853744</c:v>
                </c:pt>
                <c:pt idx="7">
                  <c:v>8.2231282106750641</c:v>
                </c:pt>
                <c:pt idx="8">
                  <c:v>6.6473457930008051</c:v>
                </c:pt>
                <c:pt idx="9">
                  <c:v>4.7032152734726917</c:v>
                </c:pt>
                <c:pt idx="10">
                  <c:v>4.0919144493786153</c:v>
                </c:pt>
                <c:pt idx="11">
                  <c:v>3.9966613164036069</c:v>
                </c:pt>
                <c:pt idx="12">
                  <c:v>3.7586433582062075</c:v>
                </c:pt>
                <c:pt idx="13">
                  <c:v>3.5724459293987869</c:v>
                </c:pt>
                <c:pt idx="14">
                  <c:v>3.5367191813996874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2B-481D-9576-99B77C4EF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3"/>
          <c:order val="3"/>
          <c:tx>
            <c:strRef>
              <c:f>'Daten Sektor Energiew.'!$B$15</c:f>
              <c:strCache>
                <c:ptCount val="1"/>
                <c:pt idx="0">
                  <c:v>1 - Energiewirtschaft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AD-4E32-9C74-E340F73B1A7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AD-4E32-9C74-E340F73B1A7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AD-4E32-9C74-E340F73B1A7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AD-4E32-9C74-E340F73B1A7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AD-4E32-9C74-E340F73B1A7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AD-4E32-9C74-E340F73B1A7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AD-4E32-9C74-E340F73B1A7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AD-4E32-9C74-E340F73B1A7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AD-4E32-9C74-E340F73B1A7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AD-4E32-9C74-E340F73B1A7B}"/>
                </c:ext>
              </c:extLst>
            </c:dLbl>
            <c:dLbl>
              <c:idx val="10"/>
              <c:layout>
                <c:manualLayout>
                  <c:x val="-3.0716207867381506E-2"/>
                  <c:y val="-4.3129720801193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4D-4030-9D67-9CE0B58E5AD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EC-4AD3-ACCB-E3194DD96829}"/>
                </c:ext>
              </c:extLst>
            </c:dLbl>
            <c:dLbl>
              <c:idx val="12"/>
              <c:layout>
                <c:manualLayout>
                  <c:x val="-3.0716207867381429E-2"/>
                  <c:y val="-3.7698627793725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AD-4E32-9C74-E340F73B1A7B}"/>
                </c:ext>
              </c:extLst>
            </c:dLbl>
            <c:dLbl>
              <c:idx val="13"/>
              <c:layout>
                <c:manualLayout>
                  <c:x val="-2.8609836092763286E-2"/>
                  <c:y val="-3.49830812899915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89-4003-B9FF-1998797DA152}"/>
                </c:ext>
              </c:extLst>
            </c:dLbl>
            <c:dLbl>
              <c:idx val="14"/>
              <c:layout>
                <c:manualLayout>
                  <c:x val="-3.2822579641999729E-2"/>
                  <c:y val="-3.2267534786257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89-4003-B9FF-1998797DA152}"/>
                </c:ext>
              </c:extLst>
            </c:dLbl>
            <c:numFmt formatCode="#,##0" sourceLinked="0"/>
            <c:spPr>
              <a:solidFill>
                <a:schemeClr val="accent1">
                  <a:lumMod val="40000"/>
                  <a:lumOff val="60000"/>
                </a:schemeClr>
              </a:solidFill>
              <a:ln w="25400">
                <a:solidFill>
                  <a:schemeClr val="accent1"/>
                </a:solidFill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'Daten Sektor Energiew.'!$D$11:$AR$11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Energiew.'!$D$15:$AR$15</c:f>
              <c:numCache>
                <c:formatCode>#,##0.0</c:formatCode>
                <c:ptCount val="21"/>
                <c:pt idx="0">
                  <c:v>372.63707419132606</c:v>
                </c:pt>
                <c:pt idx="1">
                  <c:v>367.70970245773702</c:v>
                </c:pt>
                <c:pt idx="2">
                  <c:v>379.34788118184304</c:v>
                </c:pt>
                <c:pt idx="3">
                  <c:v>383.70231874884473</c:v>
                </c:pt>
                <c:pt idx="4">
                  <c:v>362.725928282155</c:v>
                </c:pt>
                <c:pt idx="5">
                  <c:v>351.32140085469337</c:v>
                </c:pt>
                <c:pt idx="6">
                  <c:v>346.32871761389902</c:v>
                </c:pt>
                <c:pt idx="7">
                  <c:v>326.50069104369044</c:v>
                </c:pt>
                <c:pt idx="8">
                  <c:v>310.8510664619198</c:v>
                </c:pt>
                <c:pt idx="9">
                  <c:v>258.28302963996083</c:v>
                </c:pt>
                <c:pt idx="10">
                  <c:v>219.03765428068593</c:v>
                </c:pt>
                <c:pt idx="11">
                  <c:v>246.421430453738</c:v>
                </c:pt>
                <c:pt idx="12">
                  <c:v>256.67041825982216</c:v>
                </c:pt>
                <c:pt idx="13">
                  <c:v>202.58241705156237</c:v>
                </c:pt>
                <c:pt idx="14">
                  <c:v>184.99388634258281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2B-481D-9576-99B77C4EFF68}"/>
            </c:ext>
          </c:extLst>
        </c:ser>
        <c:ser>
          <c:idx val="6"/>
          <c:order val="4"/>
          <c:tx>
            <c:strRef>
              <c:f>'Daten Sektor Energiew.'!$B$17:$C$17</c:f>
              <c:strCache>
                <c:ptCount val="2"/>
                <c:pt idx="0">
                  <c:v>1 - Energiewirtschaft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ysDot"/>
              </a:ln>
              <a:effectLst/>
            </c:spPr>
          </c:marker>
          <c:dLbls>
            <c:dLbl>
              <c:idx val="10"/>
              <c:layout>
                <c:manualLayout>
                  <c:x val="-3.0716207867381506E-2"/>
                  <c:y val="-5.6707453319862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24-45C1-8E66-2902AB72B83F}"/>
                </c:ext>
              </c:extLst>
            </c:dLbl>
            <c:dLbl>
              <c:idx val="12"/>
              <c:layout>
                <c:manualLayout>
                  <c:x val="-3.0716207867381429E-2"/>
                  <c:y val="-9.2009557868402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AD-4E32-9C74-E340F73B1A7B}"/>
                </c:ext>
              </c:extLst>
            </c:dLbl>
            <c:numFmt formatCode="#,##0" sourceLinked="0"/>
            <c:spPr>
              <a:noFill/>
              <a:ln w="25400">
                <a:solidFill>
                  <a:schemeClr val="accent1"/>
                </a:solidFill>
                <a:prstDash val="sysDot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'Daten Sektor Energiew.'!$D$11:$AR$11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Energiew.'!$D$17:$AR$17</c:f>
              <c:numCache>
                <c:formatCode>#,##0.0</c:formatCode>
                <c:ptCount val="21"/>
                <c:pt idx="10" formatCode="#,##0">
                  <c:v>280</c:v>
                </c:pt>
                <c:pt idx="11" formatCode="#,##0">
                  <c:v>#N/A</c:v>
                </c:pt>
                <c:pt idx="12" formatCode="#,##0">
                  <c:v>257</c:v>
                </c:pt>
                <c:pt idx="13" formatCode="#,##0">
                  <c:v>#N/A</c:v>
                </c:pt>
                <c:pt idx="14" formatCode="#,##0">
                  <c:v>#N/A</c:v>
                </c:pt>
                <c:pt idx="15" formatCode="#,##0">
                  <c:v>#N/A</c:v>
                </c:pt>
                <c:pt idx="16" formatCode="#,##0">
                  <c:v>#N/A</c:v>
                </c:pt>
                <c:pt idx="17" formatCode="#,##0">
                  <c:v>#N/A</c:v>
                </c:pt>
                <c:pt idx="18" formatCode="#,##0">
                  <c:v>#N/A</c:v>
                </c:pt>
                <c:pt idx="19" formatCode="#,##0">
                  <c:v>#N/A</c:v>
                </c:pt>
                <c:pt idx="20" formatCode="#,##0">
                  <c:v>107.9776140872485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B-481D-9576-99B77C4EFF68}"/>
            </c:ext>
          </c:extLst>
        </c:ser>
        <c:ser>
          <c:idx val="4"/>
          <c:order val="5"/>
          <c:tx>
            <c:strRef>
              <c:f>'Daten Sektor Energiew.'!$B$16</c:f>
              <c:strCache>
                <c:ptCount val="1"/>
                <c:pt idx="0">
                  <c:v>davon im ETS ***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'Daten Sektor Energiew.'!$D$11:$AR$11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Energiew.'!$D$16:$AR$16</c:f>
              <c:numCache>
                <c:formatCode>#,##0.0</c:formatCode>
                <c:ptCount val="21"/>
                <c:pt idx="3">
                  <c:v>329.46063848099999</c:v>
                </c:pt>
                <c:pt idx="4">
                  <c:v>308.79691789999998</c:v>
                </c:pt>
                <c:pt idx="5">
                  <c:v>303.30659193100001</c:v>
                </c:pt>
                <c:pt idx="6">
                  <c:v>300.52859501600005</c:v>
                </c:pt>
                <c:pt idx="7">
                  <c:v>282.70387481699998</c:v>
                </c:pt>
                <c:pt idx="8">
                  <c:v>269.91608345999992</c:v>
                </c:pt>
                <c:pt idx="9">
                  <c:v>216.58987099999999</c:v>
                </c:pt>
                <c:pt idx="10">
                  <c:v>182.62732513999998</c:v>
                </c:pt>
                <c:pt idx="11">
                  <c:v>208.887073249</c:v>
                </c:pt>
                <c:pt idx="12">
                  <c:v>221.11981700000001</c:v>
                </c:pt>
                <c:pt idx="13">
                  <c:v>168.74956310026414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A-4849-8DD5-42C794F20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Energiew.'!$C$6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"/>
          <c:y val="0.80324839232163181"/>
          <c:w val="0.99461017609765601"/>
          <c:h val="0.1235627114838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Industrie'!$B$12</c:f>
              <c:strCache>
                <c:ptCount val="1"/>
                <c:pt idx="0">
                  <c:v>CRF 1.A.2 - Verarbeitendes Gewerbe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Industrie'!$D$11:$AR$11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Industrie'!$D$12:$AR$12</c:f>
              <c:numCache>
                <c:formatCode>#,##0.0</c:formatCode>
                <c:ptCount val="21"/>
                <c:pt idx="0">
                  <c:v>122.17646662992729</c:v>
                </c:pt>
                <c:pt idx="1">
                  <c:v>118.88043847030777</c:v>
                </c:pt>
                <c:pt idx="2">
                  <c:v>116.87912180643752</c:v>
                </c:pt>
                <c:pt idx="3">
                  <c:v>116.68045626022084</c:v>
                </c:pt>
                <c:pt idx="4">
                  <c:v>115.63749827766009</c:v>
                </c:pt>
                <c:pt idx="5">
                  <c:v>123.15730752143949</c:v>
                </c:pt>
                <c:pt idx="6">
                  <c:v>125.26029401888462</c:v>
                </c:pt>
                <c:pt idx="7">
                  <c:v>127.09564242663537</c:v>
                </c:pt>
                <c:pt idx="8">
                  <c:v>122.43050315005614</c:v>
                </c:pt>
                <c:pt idx="9">
                  <c:v>119.87616156687675</c:v>
                </c:pt>
                <c:pt idx="10">
                  <c:v>117.23115400187855</c:v>
                </c:pt>
                <c:pt idx="11">
                  <c:v>123.04226602798013</c:v>
                </c:pt>
                <c:pt idx="12">
                  <c:v>112.53130393230737</c:v>
                </c:pt>
                <c:pt idx="13">
                  <c:v>105.7692659881854</c:v>
                </c:pt>
                <c:pt idx="14" formatCode="#,##0">
                  <c:v>105.91669858410634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8-4084-87D2-36BBA94A6C43}"/>
            </c:ext>
          </c:extLst>
        </c:ser>
        <c:ser>
          <c:idx val="1"/>
          <c:order val="1"/>
          <c:tx>
            <c:strRef>
              <c:f>'Daten Sektor Industrie'!$B$13</c:f>
              <c:strCache>
                <c:ptCount val="1"/>
                <c:pt idx="0">
                  <c:v>CRF 2.A - Herstellung mineralischer Produkte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invertIfNegative val="0"/>
          <c:cat>
            <c:numRef>
              <c:f>'Daten Sektor Industrie'!$D$11:$AR$11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Industrie'!$D$13:$AR$13</c:f>
              <c:numCache>
                <c:formatCode>#,##0.0</c:formatCode>
                <c:ptCount val="21"/>
                <c:pt idx="0">
                  <c:v>18.97718202646637</c:v>
                </c:pt>
                <c:pt idx="1">
                  <c:v>20.178988661134785</c:v>
                </c:pt>
                <c:pt idx="2">
                  <c:v>19.665716849405289</c:v>
                </c:pt>
                <c:pt idx="3">
                  <c:v>19.073370355693481</c:v>
                </c:pt>
                <c:pt idx="4">
                  <c:v>19.638083771418035</c:v>
                </c:pt>
                <c:pt idx="5">
                  <c:v>19.221312421853476</c:v>
                </c:pt>
                <c:pt idx="6">
                  <c:v>19.228260527882799</c:v>
                </c:pt>
                <c:pt idx="7">
                  <c:v>19.933552517479935</c:v>
                </c:pt>
                <c:pt idx="8">
                  <c:v>19.807482634354653</c:v>
                </c:pt>
                <c:pt idx="9">
                  <c:v>19.569242430160607</c:v>
                </c:pt>
                <c:pt idx="10">
                  <c:v>19.201696960959183</c:v>
                </c:pt>
                <c:pt idx="11">
                  <c:v>19.994870896526315</c:v>
                </c:pt>
                <c:pt idx="12">
                  <c:v>18.727242961633909</c:v>
                </c:pt>
                <c:pt idx="13">
                  <c:v>15.978605968516138</c:v>
                </c:pt>
                <c:pt idx="14" formatCode="#,##0">
                  <c:v>14.8718879552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78-4084-87D2-36BBA94A6C43}"/>
            </c:ext>
          </c:extLst>
        </c:ser>
        <c:ser>
          <c:idx val="2"/>
          <c:order val="2"/>
          <c:tx>
            <c:strRef>
              <c:f>'Daten Sektor Industrie'!$B$14</c:f>
              <c:strCache>
                <c:ptCount val="1"/>
                <c:pt idx="0">
                  <c:v>CRF 2.B - Chemische Industrie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Industrie'!$D$11:$AR$11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Industrie'!$D$14:$AR$14</c:f>
              <c:numCache>
                <c:formatCode>#,##0.0</c:formatCode>
                <c:ptCount val="21"/>
                <c:pt idx="0">
                  <c:v>10.389540650091421</c:v>
                </c:pt>
                <c:pt idx="1">
                  <c:v>9.7538833002644623</c:v>
                </c:pt>
                <c:pt idx="2">
                  <c:v>9.614065278196767</c:v>
                </c:pt>
                <c:pt idx="3">
                  <c:v>9.6361087569855783</c:v>
                </c:pt>
                <c:pt idx="4">
                  <c:v>7.5856900954210893</c:v>
                </c:pt>
                <c:pt idx="5">
                  <c:v>6.9269201651367949</c:v>
                </c:pt>
                <c:pt idx="6">
                  <c:v>6.9585368348439722</c:v>
                </c:pt>
                <c:pt idx="7">
                  <c:v>6.932245864741704</c:v>
                </c:pt>
                <c:pt idx="8">
                  <c:v>6.7612787404060466</c:v>
                </c:pt>
                <c:pt idx="9">
                  <c:v>6.5404705396890384</c:v>
                </c:pt>
                <c:pt idx="10">
                  <c:v>6.5601087060580046</c:v>
                </c:pt>
                <c:pt idx="11">
                  <c:v>6.4185045720066167</c:v>
                </c:pt>
                <c:pt idx="12">
                  <c:v>5.2142160791539398</c:v>
                </c:pt>
                <c:pt idx="13">
                  <c:v>4.7714165175935612</c:v>
                </c:pt>
                <c:pt idx="14" formatCode="#,##0">
                  <c:v>5.6762251984840644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78-4084-87D2-36BBA94A6C43}"/>
            </c:ext>
          </c:extLst>
        </c:ser>
        <c:ser>
          <c:idx val="3"/>
          <c:order val="3"/>
          <c:tx>
            <c:strRef>
              <c:f>'Daten Sektor Industrie'!$B$15</c:f>
              <c:strCache>
                <c:ptCount val="1"/>
                <c:pt idx="0">
                  <c:v>CRF 2.C - Herstellung von Metallen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Industrie'!$D$11:$AR$11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Industrie'!$D$15:$AR$15</c:f>
              <c:numCache>
                <c:formatCode>#,##0.0</c:formatCode>
                <c:ptCount val="21"/>
                <c:pt idx="0">
                  <c:v>16.661484410414829</c:v>
                </c:pt>
                <c:pt idx="1">
                  <c:v>17.236508485664185</c:v>
                </c:pt>
                <c:pt idx="2">
                  <c:v>14.879060608255012</c:v>
                </c:pt>
                <c:pt idx="3">
                  <c:v>15.375044641465658</c:v>
                </c:pt>
                <c:pt idx="4">
                  <c:v>17.114747878477647</c:v>
                </c:pt>
                <c:pt idx="5">
                  <c:v>17.021551401093639</c:v>
                </c:pt>
                <c:pt idx="6">
                  <c:v>18.583937820572956</c:v>
                </c:pt>
                <c:pt idx="7">
                  <c:v>21.822335931970368</c:v>
                </c:pt>
                <c:pt idx="8">
                  <c:v>20.072745867323221</c:v>
                </c:pt>
                <c:pt idx="9">
                  <c:v>18.183507978943638</c:v>
                </c:pt>
                <c:pt idx="10">
                  <c:v>15.970707544018657</c:v>
                </c:pt>
                <c:pt idx="11">
                  <c:v>17.702997135136712</c:v>
                </c:pt>
                <c:pt idx="12">
                  <c:v>15.655245754616731</c:v>
                </c:pt>
                <c:pt idx="13">
                  <c:v>15.078394159196698</c:v>
                </c:pt>
                <c:pt idx="14" formatCode="#,##0">
                  <c:v>15.60777940981508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78-4084-87D2-36BBA94A6C43}"/>
            </c:ext>
          </c:extLst>
        </c:ser>
        <c:ser>
          <c:idx val="4"/>
          <c:order val="4"/>
          <c:tx>
            <c:strRef>
              <c:f>'Daten Sektor Industrie'!$B$16</c:f>
              <c:strCache>
                <c:ptCount val="1"/>
                <c:pt idx="0">
                  <c:v>CRF 2.D-H - übrige Prozesse und Produktverwendungen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numRef>
              <c:f>'Daten Sektor Industrie'!$D$11:$AR$11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Industrie'!$D$16:$AR$16</c:f>
              <c:numCache>
                <c:formatCode>#,##0.0</c:formatCode>
                <c:ptCount val="21"/>
                <c:pt idx="0">
                  <c:v>15.854810856414311</c:v>
                </c:pt>
                <c:pt idx="1">
                  <c:v>16.146131031716212</c:v>
                </c:pt>
                <c:pt idx="2">
                  <c:v>16.343052781946586</c:v>
                </c:pt>
                <c:pt idx="3">
                  <c:v>16.281431034008413</c:v>
                </c:pt>
                <c:pt idx="4">
                  <c:v>16.313273650370594</c:v>
                </c:pt>
                <c:pt idx="5">
                  <c:v>16.691661546552655</c:v>
                </c:pt>
                <c:pt idx="6">
                  <c:v>16.806777403330248</c:v>
                </c:pt>
                <c:pt idx="7">
                  <c:v>16.800340462953862</c:v>
                </c:pt>
                <c:pt idx="8">
                  <c:v>15.894049114424478</c:v>
                </c:pt>
                <c:pt idx="9">
                  <c:v>15.148942484842665</c:v>
                </c:pt>
                <c:pt idx="10">
                  <c:v>13.613580415352837</c:v>
                </c:pt>
                <c:pt idx="11">
                  <c:v>13.134358180302351</c:v>
                </c:pt>
                <c:pt idx="12">
                  <c:v>12.237140468329745</c:v>
                </c:pt>
                <c:pt idx="13">
                  <c:v>11.326056038727048</c:v>
                </c:pt>
                <c:pt idx="14" formatCode="#,##0">
                  <c:v>10.934681960655732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7978-4084-87D2-36BBA94A6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6"/>
          <c:order val="5"/>
          <c:tx>
            <c:strRef>
              <c:f>'Daten Sektor Industrie'!$B$17</c:f>
              <c:strCache>
                <c:ptCount val="1"/>
                <c:pt idx="0">
                  <c:v>2- Industrie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F4-489A-9312-475BFC18893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F4-489A-9312-475BFC18893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F4-489A-9312-475BFC18893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F4-489A-9312-475BFC18893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F4-489A-9312-475BFC18893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F4-489A-9312-475BFC18893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F4-489A-9312-475BFC18893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F4-489A-9312-475BFC18893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F4-489A-9312-475BFC18893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F4-489A-9312-475BFC18893F}"/>
                </c:ext>
              </c:extLst>
            </c:dLbl>
            <c:dLbl>
              <c:idx val="10"/>
              <c:layout>
                <c:manualLayout>
                  <c:x val="-2.948920484465516E-2"/>
                  <c:y val="-6.5173116089613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57-4E6A-A534-F4B40E61D62C}"/>
                </c:ext>
              </c:extLst>
            </c:dLbl>
            <c:dLbl>
              <c:idx val="11"/>
              <c:layout>
                <c:manualLayout>
                  <c:x val="-2.948920484465516E-2"/>
                  <c:y val="-4.0733197556008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AB-4A3E-977E-B41093C95379}"/>
                </c:ext>
              </c:extLst>
            </c:dLbl>
            <c:dLbl>
              <c:idx val="12"/>
              <c:layout>
                <c:manualLayout>
                  <c:x val="-2.948920484465508E-2"/>
                  <c:y val="-6.788866259334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69-4B12-9C91-4C4E68AC67D7}"/>
                </c:ext>
              </c:extLst>
            </c:dLbl>
            <c:dLbl>
              <c:idx val="13"/>
              <c:layout>
                <c:manualLayout>
                  <c:x val="-2.948920484465508E-2"/>
                  <c:y val="-8.6897488119484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F4-489A-9312-475BFC18893F}"/>
                </c:ext>
              </c:extLst>
            </c:dLbl>
            <c:dLbl>
              <c:idx val="14"/>
              <c:layout>
                <c:manualLayout>
                  <c:x val="-3.15955766192733E-2"/>
                  <c:y val="-7.8750848608282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E-4535-84BE-17216DF6D76E}"/>
                </c:ext>
              </c:extLst>
            </c:dLbl>
            <c:numFmt formatCode="#,##0" sourceLinked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'Daten Sektor Industrie'!$D$17:$AR$17</c:f>
              <c:numCache>
                <c:formatCode>#,##0.0</c:formatCode>
                <c:ptCount val="21"/>
                <c:pt idx="0">
                  <c:v>184.05948457331422</c:v>
                </c:pt>
                <c:pt idx="1">
                  <c:v>182.19594994908741</c:v>
                </c:pt>
                <c:pt idx="2">
                  <c:v>177.38101732424116</c:v>
                </c:pt>
                <c:pt idx="3">
                  <c:v>177.04641104837395</c:v>
                </c:pt>
                <c:pt idx="4">
                  <c:v>176.28929367334746</c:v>
                </c:pt>
                <c:pt idx="5">
                  <c:v>183.01875305607606</c:v>
                </c:pt>
                <c:pt idx="6">
                  <c:v>186.83780660551463</c:v>
                </c:pt>
                <c:pt idx="7">
                  <c:v>192.58411720378123</c:v>
                </c:pt>
                <c:pt idx="8">
                  <c:v>184.96605950656451</c:v>
                </c:pt>
                <c:pt idx="9">
                  <c:v>179.31832500051271</c:v>
                </c:pt>
                <c:pt idx="10">
                  <c:v>172.5772476282672</c:v>
                </c:pt>
                <c:pt idx="11">
                  <c:v>180.29299681195212</c:v>
                </c:pt>
                <c:pt idx="12">
                  <c:v>164.3651491960417</c:v>
                </c:pt>
                <c:pt idx="13">
                  <c:v>152.92373867221883</c:v>
                </c:pt>
                <c:pt idx="14" formatCode="#,##0">
                  <c:v>153.00727310826122</c:v>
                </c:pt>
              </c:numCache>
            </c:numRef>
          </c:cat>
          <c:val>
            <c:numRef>
              <c:f>'Daten Sektor Industrie'!$D$17:$AR$17</c:f>
              <c:numCache>
                <c:formatCode>#,##0.0</c:formatCode>
                <c:ptCount val="21"/>
                <c:pt idx="0">
                  <c:v>184.05948457331422</c:v>
                </c:pt>
                <c:pt idx="1">
                  <c:v>182.19594994908741</c:v>
                </c:pt>
                <c:pt idx="2">
                  <c:v>177.38101732424116</c:v>
                </c:pt>
                <c:pt idx="3">
                  <c:v>177.04641104837395</c:v>
                </c:pt>
                <c:pt idx="4">
                  <c:v>176.28929367334746</c:v>
                </c:pt>
                <c:pt idx="5">
                  <c:v>183.01875305607606</c:v>
                </c:pt>
                <c:pt idx="6">
                  <c:v>186.83780660551463</c:v>
                </c:pt>
                <c:pt idx="7">
                  <c:v>192.58411720378123</c:v>
                </c:pt>
                <c:pt idx="8">
                  <c:v>184.96605950656451</c:v>
                </c:pt>
                <c:pt idx="9">
                  <c:v>179.31832500051271</c:v>
                </c:pt>
                <c:pt idx="10">
                  <c:v>172.5772476282672</c:v>
                </c:pt>
                <c:pt idx="11">
                  <c:v>180.29299681195212</c:v>
                </c:pt>
                <c:pt idx="12">
                  <c:v>164.3651491960417</c:v>
                </c:pt>
                <c:pt idx="13">
                  <c:v>152.92373867221883</c:v>
                </c:pt>
                <c:pt idx="14" formatCode="#,##0">
                  <c:v>153.00727310826122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78-4084-87D2-36BBA94A6C43}"/>
            </c:ext>
          </c:extLst>
        </c:ser>
        <c:ser>
          <c:idx val="7"/>
          <c:order val="6"/>
          <c:tx>
            <c:strRef>
              <c:f>'Daten Sektor Industrie'!$B$19:$C$19</c:f>
              <c:strCache>
                <c:ptCount val="2"/>
                <c:pt idx="0">
                  <c:v>2 - Industrie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>
                    <a:alpha val="96000"/>
                  </a:schemeClr>
                </a:solidFill>
                <a:prstDash val="sysDot"/>
              </a:ln>
              <a:effectLst/>
            </c:spPr>
          </c:marker>
          <c:dLbls>
            <c:dLbl>
              <c:idx val="10"/>
              <c:layout>
                <c:manualLayout>
                  <c:x val="-3.0716207867381506E-2"/>
                  <c:y val="-7.843182534973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93-4981-A2A1-FBB3A5EC52BB}"/>
                </c:ext>
              </c:extLst>
            </c:dLbl>
            <c:dLbl>
              <c:idx val="11"/>
              <c:layout>
                <c:manualLayout>
                  <c:x val="-2.8609836092763286E-2"/>
                  <c:y val="-8.6578464860935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F4-489A-9312-475BFC18893F}"/>
                </c:ext>
              </c:extLst>
            </c:dLbl>
            <c:dLbl>
              <c:idx val="12"/>
              <c:layout>
                <c:manualLayout>
                  <c:x val="-3.0716207867381429E-2"/>
                  <c:y val="-8.9294011364669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978-4084-87D2-36BBA94A6C43}"/>
                </c:ext>
              </c:extLst>
            </c:dLbl>
            <c:dLbl>
              <c:idx val="13"/>
              <c:layout>
                <c:manualLayout>
                  <c:x val="-3.0716207867381506E-2"/>
                  <c:y val="-8.657846486093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978-4084-87D2-36BBA94A6C43}"/>
                </c:ext>
              </c:extLst>
            </c:dLbl>
            <c:dLbl>
              <c:idx val="14"/>
              <c:layout>
                <c:manualLayout>
                  <c:x val="-2.6503464318145067E-2"/>
                  <c:y val="-7.5716278845999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6E-4535-84BE-17216DF6D76E}"/>
                </c:ext>
              </c:extLst>
            </c:dLbl>
            <c:dLbl>
              <c:idx val="15"/>
              <c:layout>
                <c:manualLayout>
                  <c:x val="-2.8609836092763286E-2"/>
                  <c:y val="-7.8431825349733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6E-4535-84BE-17216DF6D76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978-4084-87D2-36BBA94A6C4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978-4084-87D2-36BBA94A6C4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978-4084-87D2-36BBA94A6C4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978-4084-87D2-36BBA94A6C43}"/>
                </c:ext>
              </c:extLst>
            </c:dLbl>
            <c:numFmt formatCode="#,##0" sourceLinked="0"/>
            <c:spPr>
              <a:noFill/>
              <a:ln w="28575">
                <a:solidFill>
                  <a:schemeClr val="accent4"/>
                </a:solidFill>
                <a:prstDash val="sysDot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'Daten Sektor Industrie'!$D$17:$AR$17</c:f>
              <c:numCache>
                <c:formatCode>#,##0.0</c:formatCode>
                <c:ptCount val="21"/>
                <c:pt idx="0">
                  <c:v>184.05948457331422</c:v>
                </c:pt>
                <c:pt idx="1">
                  <c:v>182.19594994908741</c:v>
                </c:pt>
                <c:pt idx="2">
                  <c:v>177.38101732424116</c:v>
                </c:pt>
                <c:pt idx="3">
                  <c:v>177.04641104837395</c:v>
                </c:pt>
                <c:pt idx="4">
                  <c:v>176.28929367334746</c:v>
                </c:pt>
                <c:pt idx="5">
                  <c:v>183.01875305607606</c:v>
                </c:pt>
                <c:pt idx="6">
                  <c:v>186.83780660551463</c:v>
                </c:pt>
                <c:pt idx="7">
                  <c:v>192.58411720378123</c:v>
                </c:pt>
                <c:pt idx="8">
                  <c:v>184.96605950656451</c:v>
                </c:pt>
                <c:pt idx="9">
                  <c:v>179.31832500051271</c:v>
                </c:pt>
                <c:pt idx="10">
                  <c:v>172.5772476282672</c:v>
                </c:pt>
                <c:pt idx="11">
                  <c:v>180.29299681195212</c:v>
                </c:pt>
                <c:pt idx="12">
                  <c:v>164.3651491960417</c:v>
                </c:pt>
                <c:pt idx="13">
                  <c:v>152.92373867221883</c:v>
                </c:pt>
                <c:pt idx="14" formatCode="#,##0">
                  <c:v>153.00727310826122</c:v>
                </c:pt>
              </c:numCache>
            </c:numRef>
          </c:cat>
          <c:val>
            <c:numRef>
              <c:f>'Daten Sektor Industrie'!$D$19:$AR$19</c:f>
              <c:numCache>
                <c:formatCode>#,##0.0</c:formatCode>
                <c:ptCount val="21"/>
                <c:pt idx="10">
                  <c:v>186</c:v>
                </c:pt>
                <c:pt idx="11">
                  <c:v>182</c:v>
                </c:pt>
                <c:pt idx="12">
                  <c:v>176.86086659631175</c:v>
                </c:pt>
                <c:pt idx="13" formatCode="#,##0">
                  <c:v>172.985406483856</c:v>
                </c:pt>
                <c:pt idx="14" formatCode="#,##0">
                  <c:v>168.85135902837558</c:v>
                </c:pt>
                <c:pt idx="15" formatCode="#,##0">
                  <c:v>163.49204001506132</c:v>
                </c:pt>
                <c:pt idx="16" formatCode="#,##0">
                  <c:v>155.49204001506132</c:v>
                </c:pt>
                <c:pt idx="17" formatCode="#,##0">
                  <c:v>146.49204001506132</c:v>
                </c:pt>
                <c:pt idx="18" formatCode="#,##0">
                  <c:v>138.49204001506132</c:v>
                </c:pt>
                <c:pt idx="19" formatCode="#,##0">
                  <c:v>131.49204001506129</c:v>
                </c:pt>
                <c:pt idx="20" formatCode="#,##0">
                  <c:v>124.49204001506129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7978-4084-87D2-36BBA94A6C43}"/>
            </c:ext>
          </c:extLst>
        </c:ser>
        <c:ser>
          <c:idx val="8"/>
          <c:order val="7"/>
          <c:tx>
            <c:strRef>
              <c:f>'Daten Sektor Industrie'!$B$18</c:f>
              <c:strCache>
                <c:ptCount val="1"/>
                <c:pt idx="0">
                  <c:v>davon im ETS ***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'Daten Sektor Industrie'!$D$17:$AR$17</c:f>
              <c:numCache>
                <c:formatCode>#,##0.0</c:formatCode>
                <c:ptCount val="21"/>
                <c:pt idx="0">
                  <c:v>184.05948457331422</c:v>
                </c:pt>
                <c:pt idx="1">
                  <c:v>182.19594994908741</c:v>
                </c:pt>
                <c:pt idx="2">
                  <c:v>177.38101732424116</c:v>
                </c:pt>
                <c:pt idx="3">
                  <c:v>177.04641104837395</c:v>
                </c:pt>
                <c:pt idx="4">
                  <c:v>176.28929367334746</c:v>
                </c:pt>
                <c:pt idx="5">
                  <c:v>183.01875305607606</c:v>
                </c:pt>
                <c:pt idx="6">
                  <c:v>186.83780660551463</c:v>
                </c:pt>
                <c:pt idx="7">
                  <c:v>192.58411720378123</c:v>
                </c:pt>
                <c:pt idx="8">
                  <c:v>184.96605950656451</c:v>
                </c:pt>
                <c:pt idx="9">
                  <c:v>179.31832500051271</c:v>
                </c:pt>
                <c:pt idx="10">
                  <c:v>172.5772476282672</c:v>
                </c:pt>
                <c:pt idx="11">
                  <c:v>180.29299681195212</c:v>
                </c:pt>
                <c:pt idx="12">
                  <c:v>164.3651491960417</c:v>
                </c:pt>
                <c:pt idx="13">
                  <c:v>152.92373867221883</c:v>
                </c:pt>
                <c:pt idx="14" formatCode="#,##0">
                  <c:v>153.00727310826122</c:v>
                </c:pt>
              </c:numCache>
            </c:numRef>
          </c:cat>
          <c:val>
            <c:numRef>
              <c:f>'Daten Sektor Industrie'!$D$18:$AR$18</c:f>
              <c:numCache>
                <c:formatCode>#,##0.0</c:formatCode>
                <c:ptCount val="21"/>
                <c:pt idx="3">
                  <c:v>150.78318197599998</c:v>
                </c:pt>
                <c:pt idx="4">
                  <c:v>151.66363896600001</c:v>
                </c:pt>
                <c:pt idx="5">
                  <c:v>151.48450023099997</c:v>
                </c:pt>
                <c:pt idx="6">
                  <c:v>151.705101192</c:v>
                </c:pt>
                <c:pt idx="7">
                  <c:v>154.330410731</c:v>
                </c:pt>
                <c:pt idx="8">
                  <c:v>152.37575842299998</c:v>
                </c:pt>
                <c:pt idx="9">
                  <c:v>146.17388799999998</c:v>
                </c:pt>
                <c:pt idx="10">
                  <c:v>137.125524845</c:v>
                </c:pt>
                <c:pt idx="11">
                  <c:v>145.74869454200001</c:v>
                </c:pt>
                <c:pt idx="12">
                  <c:v>132.42863200000002</c:v>
                </c:pt>
                <c:pt idx="13">
                  <c:v>120.32753827654277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9-4C70-BE18-4BADAFED1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Industrie'!$C$6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4.6424765624676059E-3"/>
          <c:y val="0.79315874721362467"/>
          <c:w val="0.98439576569516485"/>
          <c:h val="0.144383683200496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Gebäude'!$B$12</c:f>
              <c:strCache>
                <c:ptCount val="1"/>
                <c:pt idx="0">
                  <c:v>CRF 1.A.4.a - Gewerbe, Handel, Dienstleistung (ohne Militär und Landwirtschaft)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  <a:prstDash val="solid"/>
            </a:ln>
            <a:effectLst/>
          </c:spPr>
          <c:invertIfNegative val="0"/>
          <c:dLbls>
            <c:delete val="1"/>
          </c:dLbls>
          <c:cat>
            <c:numRef>
              <c:f>'Daten Sektor Gebäude'!$D$11:$AR$11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Gebäude'!$D$12:$AR$12</c:f>
              <c:numCache>
                <c:formatCode>#,##0.0</c:formatCode>
                <c:ptCount val="21"/>
                <c:pt idx="0">
                  <c:v>35.523762170499332</c:v>
                </c:pt>
                <c:pt idx="1">
                  <c:v>34.784117215165992</c:v>
                </c:pt>
                <c:pt idx="2">
                  <c:v>33.851967229766032</c:v>
                </c:pt>
                <c:pt idx="3">
                  <c:v>37.263557675723149</c:v>
                </c:pt>
                <c:pt idx="4">
                  <c:v>34.899594112546147</c:v>
                </c:pt>
                <c:pt idx="5">
                  <c:v>36.289572689202295</c:v>
                </c:pt>
                <c:pt idx="6">
                  <c:v>28.555605650419345</c:v>
                </c:pt>
                <c:pt idx="7">
                  <c:v>29.809021067157591</c:v>
                </c:pt>
                <c:pt idx="8">
                  <c:v>25.573260333806783</c:v>
                </c:pt>
                <c:pt idx="9">
                  <c:v>25.950624243282459</c:v>
                </c:pt>
                <c:pt idx="10">
                  <c:v>25.036799859341844</c:v>
                </c:pt>
                <c:pt idx="11">
                  <c:v>25.824313883436151</c:v>
                </c:pt>
                <c:pt idx="12">
                  <c:v>24.481468397346813</c:v>
                </c:pt>
                <c:pt idx="13">
                  <c:v>23.079984994194938</c:v>
                </c:pt>
                <c:pt idx="14">
                  <c:v>21.487447470343234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2-4755-9E96-DC55ADA1CECB}"/>
            </c:ext>
          </c:extLst>
        </c:ser>
        <c:ser>
          <c:idx val="1"/>
          <c:order val="1"/>
          <c:tx>
            <c:strRef>
              <c:f>'Daten Sektor Gebäude'!$B$13</c:f>
              <c:strCache>
                <c:ptCount val="1"/>
                <c:pt idx="0">
                  <c:v>CRF 1.A.4.b - Haushalte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dLbls>
            <c:delete val="1"/>
          </c:dLbls>
          <c:cat>
            <c:numRef>
              <c:f>'Daten Sektor Gebäude'!$D$11:$AR$11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Gebäude'!$D$13:$AR$13</c:f>
              <c:numCache>
                <c:formatCode>#,##0.0</c:formatCode>
                <c:ptCount val="21"/>
                <c:pt idx="0">
                  <c:v>106.06610325922533</c:v>
                </c:pt>
                <c:pt idx="1">
                  <c:v>88.630771246410205</c:v>
                </c:pt>
                <c:pt idx="2">
                  <c:v>95.485612952221274</c:v>
                </c:pt>
                <c:pt idx="3">
                  <c:v>100.77517726824436</c:v>
                </c:pt>
                <c:pt idx="4">
                  <c:v>84.386809284636897</c:v>
                </c:pt>
                <c:pt idx="5">
                  <c:v>88.955049519459237</c:v>
                </c:pt>
                <c:pt idx="6">
                  <c:v>91.916988200511497</c:v>
                </c:pt>
                <c:pt idx="7">
                  <c:v>90.46998548923186</c:v>
                </c:pt>
                <c:pt idx="8">
                  <c:v>89.777110641248257</c:v>
                </c:pt>
                <c:pt idx="9">
                  <c:v>95.423620913983697</c:v>
                </c:pt>
                <c:pt idx="10">
                  <c:v>96.671738800520188</c:v>
                </c:pt>
                <c:pt idx="11">
                  <c:v>92.480305454517605</c:v>
                </c:pt>
                <c:pt idx="12">
                  <c:v>85.170035417932567</c:v>
                </c:pt>
                <c:pt idx="13">
                  <c:v>79.025341758476969</c:v>
                </c:pt>
                <c:pt idx="14">
                  <c:v>78.189924621187288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62-4755-9E96-DC55ADA1CECB}"/>
            </c:ext>
          </c:extLst>
        </c:ser>
        <c:ser>
          <c:idx val="2"/>
          <c:order val="2"/>
          <c:tx>
            <c:strRef>
              <c:f>'Daten Sektor Gebäude'!$B$14</c:f>
              <c:strCache>
                <c:ptCount val="1"/>
                <c:pt idx="0">
                  <c:v>CRF 1.A.5 - Militär</c:v>
                </c:pt>
              </c:strCache>
            </c:strRef>
          </c:tx>
          <c:spPr>
            <a:solidFill>
              <a:schemeClr val="tx2"/>
            </a:solidFill>
            <a:ln w="25400">
              <a:noFill/>
            </a:ln>
            <a:effectLst/>
          </c:spPr>
          <c:invertIfNegative val="0"/>
          <c:dLbls>
            <c:delete val="1"/>
          </c:dLbls>
          <c:cat>
            <c:numRef>
              <c:f>'Daten Sektor Gebäude'!$D$11:$AR$11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Gebäude'!$D$14:$AR$14</c:f>
              <c:numCache>
                <c:formatCode>#,##0.0</c:formatCode>
                <c:ptCount val="21"/>
                <c:pt idx="0">
                  <c:v>1.3435520982486817</c:v>
                </c:pt>
                <c:pt idx="1">
                  <c:v>1.2425269550959326</c:v>
                </c:pt>
                <c:pt idx="2">
                  <c:v>1.0314660412281831</c:v>
                </c:pt>
                <c:pt idx="3">
                  <c:v>1.0707754367032509</c:v>
                </c:pt>
                <c:pt idx="4">
                  <c:v>1.0025249015946058</c:v>
                </c:pt>
                <c:pt idx="5">
                  <c:v>0.99468425286300377</c:v>
                </c:pt>
                <c:pt idx="6">
                  <c:v>1.0320916501325907</c:v>
                </c:pt>
                <c:pt idx="7">
                  <c:v>0.85095497845823365</c:v>
                </c:pt>
                <c:pt idx="8">
                  <c:v>0.75913185573358166</c:v>
                </c:pt>
                <c:pt idx="9">
                  <c:v>0.92188102063235311</c:v>
                </c:pt>
                <c:pt idx="10">
                  <c:v>0.78857492735897139</c:v>
                </c:pt>
                <c:pt idx="11">
                  <c:v>0.98216288122270212</c:v>
                </c:pt>
                <c:pt idx="12">
                  <c:v>0.86313046987019948</c:v>
                </c:pt>
                <c:pt idx="13">
                  <c:v>0.82767344603265092</c:v>
                </c:pt>
                <c:pt idx="14">
                  <c:v>0.85886193324708116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62-4755-9E96-DC55ADA1CECB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6"/>
          <c:order val="3"/>
          <c:tx>
            <c:strRef>
              <c:f>'Daten Sektor Gebäude'!$B$15</c:f>
              <c:strCache>
                <c:ptCount val="1"/>
                <c:pt idx="0">
                  <c:v>3 - Gebäude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10F-42C6-AA27-945AD907807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10F-42C6-AA27-945AD907807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10F-42C6-AA27-945AD907807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10F-42C6-AA27-945AD907807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10F-42C6-AA27-945AD907807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10F-42C6-AA27-945AD907807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A10F-42C6-AA27-945AD907807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10F-42C6-AA27-945AD907807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A10F-42C6-AA27-945AD907807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10F-42C6-AA27-945AD9078074}"/>
                </c:ext>
              </c:extLst>
            </c:dLbl>
            <c:dLbl>
              <c:idx val="10"/>
              <c:layout>
                <c:manualLayout>
                  <c:x val="-3.0716207867381506E-2"/>
                  <c:y val="-2.9551988282523749E-2"/>
                </c:manualLayout>
              </c:layout>
              <c:tx>
                <c:rich>
                  <a:bodyPr/>
                  <a:lstStyle/>
                  <a:p>
                    <a:fld id="{5D8919AE-F418-4AEA-9866-F5945E159C1B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E88-48C7-86F1-3E9D0648E56A}"/>
                </c:ext>
              </c:extLst>
            </c:dLbl>
            <c:dLbl>
              <c:idx val="11"/>
              <c:layout>
                <c:manualLayout>
                  <c:x val="-3.0716207867381582E-2"/>
                  <c:y val="-3.4983081289991523E-2"/>
                </c:manualLayout>
              </c:layout>
              <c:tx>
                <c:rich>
                  <a:bodyPr/>
                  <a:lstStyle/>
                  <a:p>
                    <a:fld id="{B5C27872-DA9A-4DA2-961F-76692BE7FA09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689-4840-B070-6B6FA203843E}"/>
                </c:ext>
              </c:extLst>
            </c:dLbl>
            <c:dLbl>
              <c:idx val="12"/>
              <c:layout>
                <c:manualLayout>
                  <c:x val="-3.0716207867381429E-2"/>
                  <c:y val="-4.0733197556008169E-2"/>
                </c:manualLayout>
              </c:layout>
              <c:tx>
                <c:rich>
                  <a:bodyPr/>
                  <a:lstStyle/>
                  <a:p>
                    <a:fld id="{693D05D6-A0FC-4851-B4F6-DB5DC096056E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E88-48C7-86F1-3E9D0648E56A}"/>
                </c:ext>
              </c:extLst>
            </c:dLbl>
            <c:dLbl>
              <c:idx val="13"/>
              <c:layout>
                <c:manualLayout>
                  <c:x val="-3.0716207867381506E-2"/>
                  <c:y val="-3.7698627793725403E-2"/>
                </c:manualLayout>
              </c:layout>
              <c:tx>
                <c:rich>
                  <a:bodyPr/>
                  <a:lstStyle/>
                  <a:p>
                    <a:fld id="{F4D772A3-2243-432B-8398-45185DE4FC3B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A10F-42C6-AA27-945AD9078074}"/>
                </c:ext>
              </c:extLst>
            </c:dLbl>
            <c:dLbl>
              <c:idx val="14"/>
              <c:layout>
                <c:manualLayout>
                  <c:x val="-3.0403569222093762E-2"/>
                  <c:y val="-3.2279936494699873E-2"/>
                </c:manualLayout>
              </c:layout>
              <c:tx>
                <c:rich>
                  <a:bodyPr rot="0" spcFirstLastPara="1" vertOverflow="overflow" horzOverflow="overflow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lang="de-DE" sz="8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62428EC-836F-4C2B-BAC8-D62ECF41626C}" type="VALUE">
                      <a:rPr lang="en-US"/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[WERT]</a:t>
                    </a:fld>
                    <a:endParaRPr lang="de-DE"/>
                  </a:p>
                </c:rich>
              </c:tx>
              <c:numFmt formatCode="#,##0" sourceLinked="0"/>
              <c:spPr>
                <a:solidFill>
                  <a:schemeClr val="bg2"/>
                </a:solidFill>
                <a:ln w="19050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de-DE" sz="8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A10F-42C6-AA27-945AD9078074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A10F-42C6-AA27-945AD90780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A10F-42C6-AA27-945AD90780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A10F-42C6-AA27-945AD907807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A10F-42C6-AA27-945AD9078074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A10F-42C6-AA27-945AD9078074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A10F-42C6-AA27-945AD9078074}"/>
                </c:ext>
              </c:extLst>
            </c:dLbl>
            <c:numFmt formatCode="#,##0" sourceLinked="0"/>
            <c:spPr>
              <a:solidFill>
                <a:schemeClr val="bg2"/>
              </a:solidFill>
              <a:ln w="19050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'Daten Sektor Gebäude'!$D$11:$AR$11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Gebäude'!$D$15:$AR$15</c:f>
              <c:numCache>
                <c:formatCode>#,##0.0</c:formatCode>
                <c:ptCount val="21"/>
                <c:pt idx="0">
                  <c:v>142.93341752797332</c:v>
                </c:pt>
                <c:pt idx="1">
                  <c:v>124.65741541667212</c:v>
                </c:pt>
                <c:pt idx="2">
                  <c:v>130.36904622321549</c:v>
                </c:pt>
                <c:pt idx="3">
                  <c:v>139.10951038067077</c:v>
                </c:pt>
                <c:pt idx="4">
                  <c:v>120.28892829877765</c:v>
                </c:pt>
                <c:pt idx="5">
                  <c:v>126.23930646152454</c:v>
                </c:pt>
                <c:pt idx="6">
                  <c:v>121.50468550106342</c:v>
                </c:pt>
                <c:pt idx="7">
                  <c:v>121.12996153484768</c:v>
                </c:pt>
                <c:pt idx="8">
                  <c:v>116.10950283078863</c:v>
                </c:pt>
                <c:pt idx="9">
                  <c:v>122.2961261778985</c:v>
                </c:pt>
                <c:pt idx="10">
                  <c:v>122.49711358722101</c:v>
                </c:pt>
                <c:pt idx="11">
                  <c:v>119.28678221917644</c:v>
                </c:pt>
                <c:pt idx="12">
                  <c:v>110.51463428514957</c:v>
                </c:pt>
                <c:pt idx="13">
                  <c:v>102.93300019870455</c:v>
                </c:pt>
                <c:pt idx="14">
                  <c:v>100.5362340247776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'Daten Sektor Gebäude'!$AL$15</c15:f>
                <c15:dlblRangeCache>
                  <c:ptCount val="1"/>
                  <c:pt idx="0">
                    <c:v>100,5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5D62-4755-9E96-DC55ADA1CECB}"/>
            </c:ext>
          </c:extLst>
        </c:ser>
        <c:ser>
          <c:idx val="8"/>
          <c:order val="4"/>
          <c:tx>
            <c:strRef>
              <c:f>'Daten Sektor Gebäude'!$B$17:$C$17</c:f>
              <c:strCache>
                <c:ptCount val="2"/>
                <c:pt idx="0">
                  <c:v>3 - Gebäude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A10F-42C6-AA27-945AD90780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A10F-42C6-AA27-945AD90780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A10F-42C6-AA27-945AD907807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A10F-42C6-AA27-945AD90780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A10F-42C6-AA27-945AD90780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A10F-42C6-AA27-945AD907807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A10F-42C6-AA27-945AD907807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A10F-42C6-AA27-945AD907807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A10F-42C6-AA27-945AD907807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A10F-42C6-AA27-945AD9078074}"/>
                </c:ext>
              </c:extLst>
            </c:dLbl>
            <c:dLbl>
              <c:idx val="10"/>
              <c:layout>
                <c:manualLayout>
                  <c:x val="-3.0716207867381506E-2"/>
                  <c:y val="-0.11916502290574167"/>
                </c:manualLayout>
              </c:layout>
              <c:tx>
                <c:rich>
                  <a:bodyPr/>
                  <a:lstStyle/>
                  <a:p>
                    <a:fld id="{6FD01A86-FD35-4F42-A3AE-F4C4DF4D5AA5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E88-48C7-86F1-3E9D0648E56A}"/>
                </c:ext>
              </c:extLst>
            </c:dLbl>
            <c:dLbl>
              <c:idx val="11"/>
              <c:layout>
                <c:manualLayout>
                  <c:x val="-2.8609836092763286E-2"/>
                  <c:y val="-0.12459611591320942"/>
                </c:manualLayout>
              </c:layout>
              <c:tx>
                <c:rich>
                  <a:bodyPr/>
                  <a:lstStyle/>
                  <a:p>
                    <a:fld id="{D4005438-3173-4E05-AED7-6BF6118041EC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E88-48C7-86F1-3E9D0648E56A}"/>
                </c:ext>
              </c:extLst>
            </c:dLbl>
            <c:dLbl>
              <c:idx val="12"/>
              <c:layout>
                <c:manualLayout>
                  <c:x val="-2.8609836092763286E-2"/>
                  <c:y val="-0.12731166241694331"/>
                </c:manualLayout>
              </c:layout>
              <c:tx>
                <c:rich>
                  <a:bodyPr/>
                  <a:lstStyle/>
                  <a:p>
                    <a:fld id="{31D554E1-576D-4790-A158-7E530259D51B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4F0-4758-BFBF-DD641F091FE2}"/>
                </c:ext>
              </c:extLst>
            </c:dLbl>
            <c:dLbl>
              <c:idx val="13"/>
              <c:layout>
                <c:manualLayout>
                  <c:x val="-2.948920484465508E-2"/>
                  <c:y val="-0.12763068567549218"/>
                </c:manualLayout>
              </c:layout>
              <c:tx>
                <c:rich>
                  <a:bodyPr/>
                  <a:lstStyle/>
                  <a:p>
                    <a:fld id="{7C329BF4-CDDE-43DD-9DCD-9B4320B955CB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4F0-4758-BFBF-DD641F091FE2}"/>
                </c:ext>
              </c:extLst>
            </c:dLbl>
            <c:dLbl>
              <c:idx val="14"/>
              <c:layout>
                <c:manualLayout>
                  <c:x val="-2.5276461295418641E-2"/>
                  <c:y val="-0.119484046164290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F0-4758-BFBF-DD641F091FE2}"/>
                </c:ext>
              </c:extLst>
            </c:dLbl>
            <c:dLbl>
              <c:idx val="15"/>
              <c:layout>
                <c:manualLayout>
                  <c:x val="-2.6445580558354376E-2"/>
                  <c:y val="-0.11101838339454004"/>
                </c:manualLayout>
              </c:layout>
              <c:tx>
                <c:rich>
                  <a:bodyPr/>
                  <a:lstStyle/>
                  <a:p>
                    <a:fld id="{A61F4B13-4697-482C-A372-859E85D71175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8-A10F-42C6-AA27-945AD907807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F0-4758-BFBF-DD641F091FE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F0-4758-BFBF-DD641F091FE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F0-4758-BFBF-DD641F091FE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F0-4758-BFBF-DD641F091FE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6C8224D2-F9EE-444E-A75F-D5C0B83695E9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A10F-42C6-AA27-945AD9078074}"/>
                </c:ext>
              </c:extLst>
            </c:dLbl>
            <c:numFmt formatCode="#,##0" sourceLinked="0"/>
            <c:spPr>
              <a:noFill/>
              <a:ln w="25400">
                <a:solidFill>
                  <a:schemeClr val="tx2"/>
                </a:solidFill>
                <a:prstDash val="sysDot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'Daten Sektor Gebäude'!$D$11:$AR$11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Gebäude'!$D$17:$AR$17</c:f>
              <c:numCache>
                <c:formatCode>#,##0</c:formatCode>
                <c:ptCount val="21"/>
                <c:pt idx="10" formatCode="#,##0.0">
                  <c:v>118</c:v>
                </c:pt>
                <c:pt idx="11" formatCode="#,##0.0">
                  <c:v>113</c:v>
                </c:pt>
                <c:pt idx="12" formatCode="#,##0.0">
                  <c:v>107.44154968536468</c:v>
                </c:pt>
                <c:pt idx="13" formatCode="#,##0.0">
                  <c:v>101.05379676576811</c:v>
                </c:pt>
                <c:pt idx="14" formatCode="#,##0.0">
                  <c:v>95.785339132491472</c:v>
                </c:pt>
                <c:pt idx="15" formatCode="#,##0.0">
                  <c:v>89.993523317110458</c:v>
                </c:pt>
                <c:pt idx="16" formatCode="#,##0.0">
                  <c:v>84.993523317110458</c:v>
                </c:pt>
                <c:pt idx="17" formatCode="#,##0.0">
                  <c:v>79.993523317110458</c:v>
                </c:pt>
                <c:pt idx="18" formatCode="#,##0.0">
                  <c:v>74.993523317110458</c:v>
                </c:pt>
                <c:pt idx="19" formatCode="#,##0.0">
                  <c:v>69.993523317110458</c:v>
                </c:pt>
                <c:pt idx="20" formatCode="#,##0.0">
                  <c:v>64.993523317110458</c:v>
                </c:pt>
              </c:numCache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datalabelsRange>
                <c15:f>'Daten Sektor Gebäude'!$AK$17</c15:f>
                <c15:dlblRangeCache>
                  <c:ptCount val="1"/>
                  <c:pt idx="0">
                    <c:v>101,1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5D62-4755-9E96-DC55ADA1CECB}"/>
            </c:ext>
          </c:extLst>
        </c:ser>
        <c:ser>
          <c:idx val="3"/>
          <c:order val="5"/>
          <c:tx>
            <c:strRef>
              <c:f>'Daten Sektor Gebäude'!$B$16</c:f>
              <c:strCache>
                <c:ptCount val="1"/>
                <c:pt idx="0">
                  <c:v>davon ETS ***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'Daten Sektor Gebäude'!$D$11:$AR$11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Gebäude'!$D$16:$AR$16</c:f>
              <c:numCache>
                <c:formatCode>#,##0</c:formatCode>
                <c:ptCount val="21"/>
                <c:pt idx="3" formatCode="#,##0.0">
                  <c:v>0.58524799999999988</c:v>
                </c:pt>
                <c:pt idx="4" formatCode="#,##0.0">
                  <c:v>0.516181</c:v>
                </c:pt>
                <c:pt idx="5" formatCode="#,##0.0">
                  <c:v>0.53094799999999998</c:v>
                </c:pt>
                <c:pt idx="6" formatCode="#,##0.0">
                  <c:v>0.54442800000000002</c:v>
                </c:pt>
                <c:pt idx="7" formatCode="#,##0.0">
                  <c:v>0.55857999999999997</c:v>
                </c:pt>
                <c:pt idx="8" formatCode="#,##0.0">
                  <c:v>0.52882099999999987</c:v>
                </c:pt>
                <c:pt idx="9" formatCode="#,##0.0">
                  <c:v>0.54612099999999997</c:v>
                </c:pt>
                <c:pt idx="10" formatCode="#,##0.0">
                  <c:v>0.51831381999999993</c:v>
                </c:pt>
                <c:pt idx="11" formatCode="#,##0.0">
                  <c:v>0.58025822400000004</c:v>
                </c:pt>
                <c:pt idx="12" formatCode="#,##0.0">
                  <c:v>0.54047900000000004</c:v>
                </c:pt>
                <c:pt idx="13" formatCode="#,##0.0">
                  <c:v>0.50667419190783103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0-4C0E-9DA6-8B4441A73A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Gebäude'!$C$6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3.5730367827244329E-3"/>
          <c:y val="0.78423959110374364"/>
          <c:w val="0.99060856729401714"/>
          <c:h val="0.16792020142085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Verkehr'!$B$11</c:f>
              <c:strCache>
                <c:ptCount val="1"/>
                <c:pt idx="0">
                  <c:v>CRF 1.A.3.a - nationaler Luftverkehr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Verkehr'!$D$10:$AR$10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Verkehr'!$D$11:$AR$11</c:f>
              <c:numCache>
                <c:formatCode>#,##0.0</c:formatCode>
                <c:ptCount val="21"/>
                <c:pt idx="0">
                  <c:v>2.2704825423158459</c:v>
                </c:pt>
                <c:pt idx="1">
                  <c:v>2.2930463812919872</c:v>
                </c:pt>
                <c:pt idx="2">
                  <c:v>2.1797128772971566</c:v>
                </c:pt>
                <c:pt idx="3">
                  <c:v>1.9698778292144068</c:v>
                </c:pt>
                <c:pt idx="4">
                  <c:v>1.9917205496418362</c:v>
                </c:pt>
                <c:pt idx="5">
                  <c:v>2.0782031133027039</c:v>
                </c:pt>
                <c:pt idx="6">
                  <c:v>2.0852710513663597</c:v>
                </c:pt>
                <c:pt idx="7">
                  <c:v>2.0222945128978358</c:v>
                </c:pt>
                <c:pt idx="8">
                  <c:v>2.0145028144562125</c:v>
                </c:pt>
                <c:pt idx="9">
                  <c:v>2.0758291371257953</c:v>
                </c:pt>
                <c:pt idx="10">
                  <c:v>0.93010536184034465</c:v>
                </c:pt>
                <c:pt idx="11">
                  <c:v>0.71797981683465206</c:v>
                </c:pt>
                <c:pt idx="12">
                  <c:v>1.0425364836652657</c:v>
                </c:pt>
                <c:pt idx="13">
                  <c:v>1.0936396107909787</c:v>
                </c:pt>
                <c:pt idx="14">
                  <c:v>1.1042699646105931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4-4846-90F6-8440E9191D26}"/>
            </c:ext>
          </c:extLst>
        </c:ser>
        <c:ser>
          <c:idx val="1"/>
          <c:order val="1"/>
          <c:tx>
            <c:strRef>
              <c:f>'Daten Sektor Verkehr'!$B$12</c:f>
              <c:strCache>
                <c:ptCount val="1"/>
                <c:pt idx="0">
                  <c:v>CRF 1.A.3.b - Straßenverkehr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Verkehr'!$D$10:$AR$10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Verkehr'!$D$12:$AR$12</c:f>
              <c:numCache>
                <c:formatCode>#,##0.0</c:formatCode>
                <c:ptCount val="21"/>
                <c:pt idx="0">
                  <c:v>145.10325787212471</c:v>
                </c:pt>
                <c:pt idx="1">
                  <c:v>147.06005973145903</c:v>
                </c:pt>
                <c:pt idx="2">
                  <c:v>145.54583890125153</c:v>
                </c:pt>
                <c:pt idx="3">
                  <c:v>149.78191436468117</c:v>
                </c:pt>
                <c:pt idx="4">
                  <c:v>149.01288148516159</c:v>
                </c:pt>
                <c:pt idx="5">
                  <c:v>156.69366533810853</c:v>
                </c:pt>
                <c:pt idx="6">
                  <c:v>158.85160097435508</c:v>
                </c:pt>
                <c:pt idx="7">
                  <c:v>160.46464090525109</c:v>
                </c:pt>
                <c:pt idx="8">
                  <c:v>160.76596773031517</c:v>
                </c:pt>
                <c:pt idx="9">
                  <c:v>159.54992271464161</c:v>
                </c:pt>
                <c:pt idx="10">
                  <c:v>142.88527469920746</c:v>
                </c:pt>
                <c:pt idx="11">
                  <c:v>141.42532318791157</c:v>
                </c:pt>
                <c:pt idx="12">
                  <c:v>144.47932666318232</c:v>
                </c:pt>
                <c:pt idx="13">
                  <c:v>141.86257679252628</c:v>
                </c:pt>
                <c:pt idx="14">
                  <c:v>139.76017351949847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64-4846-90F6-8440E9191D26}"/>
            </c:ext>
          </c:extLst>
        </c:ser>
        <c:ser>
          <c:idx val="2"/>
          <c:order val="2"/>
          <c:tx>
            <c:strRef>
              <c:f>'Daten Sektor Verkehr'!$B$13</c:f>
              <c:strCache>
                <c:ptCount val="1"/>
                <c:pt idx="0">
                  <c:v>CRF 1.A.3.c - Schienenverkehr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cat>
            <c:numRef>
              <c:f>'Daten Sektor Verkehr'!$D$10:$AR$10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Verkehr'!$D$13:$AR$13</c:f>
              <c:numCache>
                <c:formatCode>#,##0.0</c:formatCode>
                <c:ptCount val="21"/>
                <c:pt idx="0">
                  <c:v>1.1208457538602012</c:v>
                </c:pt>
                <c:pt idx="1">
                  <c:v>1.1321541069682892</c:v>
                </c:pt>
                <c:pt idx="2">
                  <c:v>1.0422381377744023</c:v>
                </c:pt>
                <c:pt idx="3">
                  <c:v>1.0601616632470585</c:v>
                </c:pt>
                <c:pt idx="4">
                  <c:v>0.94846245243745875</c:v>
                </c:pt>
                <c:pt idx="5">
                  <c:v>1.0245171164134708</c:v>
                </c:pt>
                <c:pt idx="6">
                  <c:v>1.0593065302001867</c:v>
                </c:pt>
                <c:pt idx="7">
                  <c:v>0.87883699850188746</c:v>
                </c:pt>
                <c:pt idx="8">
                  <c:v>0.73584142679479636</c:v>
                </c:pt>
                <c:pt idx="9">
                  <c:v>0.83412805696767278</c:v>
                </c:pt>
                <c:pt idx="10">
                  <c:v>0.83257718677161185</c:v>
                </c:pt>
                <c:pt idx="11">
                  <c:v>0.85554028364683066</c:v>
                </c:pt>
                <c:pt idx="12">
                  <c:v>0.81170141393921313</c:v>
                </c:pt>
                <c:pt idx="13">
                  <c:v>0.77879979520654907</c:v>
                </c:pt>
                <c:pt idx="14">
                  <c:v>0.75745792612391472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64-4846-90F6-8440E9191D26}"/>
            </c:ext>
          </c:extLst>
        </c:ser>
        <c:ser>
          <c:idx val="3"/>
          <c:order val="3"/>
          <c:tx>
            <c:strRef>
              <c:f>'Daten Sektor Verkehr'!$B$14</c:f>
              <c:strCache>
                <c:ptCount val="1"/>
                <c:pt idx="0">
                  <c:v>CRF 1.A.3.d - Küsten- &amp; Binnenschifffahrt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Verkehr'!$D$10:$AR$10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  <c:extLst xmlns:c15="http://schemas.microsoft.com/office/drawing/2012/chart"/>
            </c:numRef>
          </c:cat>
          <c:val>
            <c:numRef>
              <c:f>'Daten Sektor Verkehr'!$D$14:$AR$14</c:f>
              <c:numCache>
                <c:formatCode>#,##0.0</c:formatCode>
                <c:ptCount val="21"/>
                <c:pt idx="0">
                  <c:v>1.9535793867774063</c:v>
                </c:pt>
                <c:pt idx="1">
                  <c:v>1.819669174820816</c:v>
                </c:pt>
                <c:pt idx="2">
                  <c:v>1.8736890674534059</c:v>
                </c:pt>
                <c:pt idx="3">
                  <c:v>1.8700838156622215</c:v>
                </c:pt>
                <c:pt idx="4">
                  <c:v>1.8997422933546861</c:v>
                </c:pt>
                <c:pt idx="5">
                  <c:v>1.8847390971086382</c:v>
                </c:pt>
                <c:pt idx="6">
                  <c:v>1.807643468449577</c:v>
                </c:pt>
                <c:pt idx="7">
                  <c:v>1.8106491347633897</c:v>
                </c:pt>
                <c:pt idx="8">
                  <c:v>1.8643037962875397</c:v>
                </c:pt>
                <c:pt idx="9">
                  <c:v>1.8640901612189325</c:v>
                </c:pt>
                <c:pt idx="10">
                  <c:v>1.7377854356787086</c:v>
                </c:pt>
                <c:pt idx="11">
                  <c:v>1.6001866780501408</c:v>
                </c:pt>
                <c:pt idx="12">
                  <c:v>1.3573108227078448</c:v>
                </c:pt>
                <c:pt idx="13">
                  <c:v>1.3961424300034029</c:v>
                </c:pt>
                <c:pt idx="14">
                  <c:v>1.4328668379207066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1F64-4846-90F6-8440E9191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  <c:extLst/>
      </c:barChart>
      <c:lineChart>
        <c:grouping val="standard"/>
        <c:varyColors val="0"/>
        <c:ser>
          <c:idx val="6"/>
          <c:order val="4"/>
          <c:tx>
            <c:strRef>
              <c:f>'Daten Sektor Verkehr'!$B$15</c:f>
              <c:strCache>
                <c:ptCount val="1"/>
                <c:pt idx="0">
                  <c:v>4 - Verkehr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C1-40E1-9AB4-E95A354EAA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C1-40E1-9AB4-E95A354EAA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C1-40E1-9AB4-E95A354EAA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C1-40E1-9AB4-E95A354EAA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C1-40E1-9AB4-E95A354EAA5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C1-40E1-9AB4-E95A354EAA5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C1-40E1-9AB4-E95A354EAA5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C1-40E1-9AB4-E95A354EAA5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C1-40E1-9AB4-E95A354EAA5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C1-40E1-9AB4-E95A354EAA58}"/>
                </c:ext>
              </c:extLst>
            </c:dLbl>
            <c:dLbl>
              <c:idx val="10"/>
              <c:layout>
                <c:manualLayout>
                  <c:x val="-3.2822579641999729E-2"/>
                  <c:y val="-4.3129720801193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31-4F40-800F-60F65C181DF3}"/>
                </c:ext>
              </c:extLst>
            </c:dLbl>
            <c:dLbl>
              <c:idx val="11"/>
              <c:layout>
                <c:manualLayout>
                  <c:x val="-3.2822579641999805E-2"/>
                  <c:y val="-4.5845267304927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2F-4C93-AC62-E457E2E060AF}"/>
                </c:ext>
              </c:extLst>
            </c:dLbl>
            <c:dLbl>
              <c:idx val="12"/>
              <c:layout>
                <c:manualLayout>
                  <c:x val="-3.2822579641999729E-2"/>
                  <c:y val="-3.7698627793725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F6-4FA0-ADCE-40D3BA227359}"/>
                </c:ext>
              </c:extLst>
            </c:dLbl>
            <c:dLbl>
              <c:idx val="13"/>
              <c:layout>
                <c:manualLayout>
                  <c:x val="-3.2822579641999652E-2"/>
                  <c:y val="-4.3129720801193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C1-40E1-9AB4-E95A354EAA58}"/>
                </c:ext>
              </c:extLst>
            </c:dLbl>
            <c:dLbl>
              <c:idx val="14"/>
              <c:layout>
                <c:manualLayout>
                  <c:x val="-3.0716207867381506E-2"/>
                  <c:y val="-4.0414174297459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B6-47E0-9A8B-FA250F2D22B1}"/>
                </c:ext>
              </c:extLst>
            </c:dLbl>
            <c:numFmt formatCode="#,##0" sourceLinked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5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Verkehr'!$D$15:$AR$15</c:f>
              <c:numCache>
                <c:formatCode>#,##0.0</c:formatCode>
                <c:ptCount val="21"/>
                <c:pt idx="0">
                  <c:v>150.44816555507819</c:v>
                </c:pt>
                <c:pt idx="1">
                  <c:v>152.30492939454015</c:v>
                </c:pt>
                <c:pt idx="2">
                  <c:v>150.64147898377649</c:v>
                </c:pt>
                <c:pt idx="3">
                  <c:v>154.68203767280488</c:v>
                </c:pt>
                <c:pt idx="4">
                  <c:v>153.85280678059556</c:v>
                </c:pt>
                <c:pt idx="5">
                  <c:v>161.68112466493332</c:v>
                </c:pt>
                <c:pt idx="6">
                  <c:v>163.80382202437119</c:v>
                </c:pt>
                <c:pt idx="7">
                  <c:v>165.17642155141422</c:v>
                </c:pt>
                <c:pt idx="8">
                  <c:v>165.38061576785373</c:v>
                </c:pt>
                <c:pt idx="9">
                  <c:v>164.32397006995399</c:v>
                </c:pt>
                <c:pt idx="10">
                  <c:v>146.38574268349811</c:v>
                </c:pt>
                <c:pt idx="11">
                  <c:v>144.5990299664432</c:v>
                </c:pt>
                <c:pt idx="12">
                  <c:v>147.69087538349461</c:v>
                </c:pt>
                <c:pt idx="13">
                  <c:v>145.13115862852723</c:v>
                </c:pt>
                <c:pt idx="14">
                  <c:v>143.05476824815369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F64-4846-90F6-8440E9191D26}"/>
            </c:ext>
          </c:extLst>
        </c:ser>
        <c:ser>
          <c:idx val="9"/>
          <c:order val="5"/>
          <c:tx>
            <c:strRef>
              <c:f>'Daten Sektor Verkehr'!$B$17:$C$17</c:f>
              <c:strCache>
                <c:ptCount val="2"/>
                <c:pt idx="0">
                  <c:v>4 - Verkehr</c:v>
                </c:pt>
                <c:pt idx="1">
                  <c:v>aktueller Zielpfad**</c:v>
                </c:pt>
              </c:strCache>
              <c:extLst xmlns:c15="http://schemas.microsoft.com/office/drawing/2012/chart"/>
            </c:strRef>
          </c:tx>
          <c:spPr>
            <a:ln w="2540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ot"/>
              </a:ln>
              <a:effectLst/>
            </c:spPr>
          </c:marker>
          <c:dLbls>
            <c:dLbl>
              <c:idx val="10"/>
              <c:layout>
                <c:manualLayout>
                  <c:x val="-3.0716207867381506E-2"/>
                  <c:y val="-8.657846486093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DE-4E55-98EE-ABAC786322F0}"/>
                </c:ext>
              </c:extLst>
            </c:dLbl>
            <c:dLbl>
              <c:idx val="11"/>
              <c:layout>
                <c:manualLayout>
                  <c:x val="-3.2822579641999805E-2"/>
                  <c:y val="-0.1001561973796045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6-4FA0-ADCE-40D3BA227359}"/>
                </c:ext>
              </c:extLst>
            </c:dLbl>
            <c:dLbl>
              <c:idx val="12"/>
              <c:layout>
                <c:manualLayout>
                  <c:x val="-3.0716207867381429E-2"/>
                  <c:y val="-0.121880569409475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83-4D39-A29E-08F9403239FB}"/>
                </c:ext>
              </c:extLst>
            </c:dLbl>
            <c:dLbl>
              <c:idx val="13"/>
              <c:layout>
                <c:manualLayout>
                  <c:x val="-3.15955766192733E-2"/>
                  <c:y val="-0.13849287169042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83-4D39-A29E-08F9403239FB}"/>
                </c:ext>
              </c:extLst>
            </c:dLbl>
            <c:dLbl>
              <c:idx val="14"/>
              <c:layout>
                <c:manualLayout>
                  <c:x val="-2.948920484465516E-2"/>
                  <c:y val="-0.160217243720298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83-4D39-A29E-08F9403239F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83-4D39-A29E-08F9403239F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83-4D39-A29E-08F9403239F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83-4D39-A29E-08F9403239FB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83-4D39-A29E-08F9403239FB}"/>
                </c:ext>
              </c:extLst>
            </c:dLbl>
            <c:numFmt formatCode="#,##0" sourceLinked="0"/>
            <c:spPr>
              <a:noFill/>
              <a:ln w="25400">
                <a:solidFill>
                  <a:schemeClr val="accent2"/>
                </a:solidFill>
                <a:prstDash val="sysDot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Verkehr'!$D$17:$AR$17</c:f>
              <c:numCache>
                <c:formatCode>#,##0.0</c:formatCode>
                <c:ptCount val="21"/>
                <c:pt idx="10" formatCode="#,##0">
                  <c:v>150</c:v>
                </c:pt>
                <c:pt idx="11" formatCode="#,##0">
                  <c:v>145</c:v>
                </c:pt>
                <c:pt idx="12" formatCode="#,##0">
                  <c:v>138.80153267406732</c:v>
                </c:pt>
                <c:pt idx="13" formatCode="#,##0">
                  <c:v>132.74131421065542</c:v>
                </c:pt>
                <c:pt idx="14" formatCode="#,##0">
                  <c:v>124.97133643667371</c:v>
                </c:pt>
                <c:pt idx="15" formatCode="#,##0">
                  <c:v>116.95743113476038</c:v>
                </c:pt>
                <c:pt idx="16" formatCode="#,##0">
                  <c:v>110.95743113476038</c:v>
                </c:pt>
                <c:pt idx="17" formatCode="#,##0">
                  <c:v>105.95743113476038</c:v>
                </c:pt>
                <c:pt idx="18" formatCode="#,##0">
                  <c:v>98.957431134760384</c:v>
                </c:pt>
                <c:pt idx="19" formatCode="#,##0">
                  <c:v>89.957431134760384</c:v>
                </c:pt>
                <c:pt idx="20" formatCode="#,##0">
                  <c:v>78.957431134760384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1F64-4846-90F6-8440E9191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Verkehr'!$C$5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"/>
          <c:y val="0.78423959110374364"/>
          <c:w val="0.99493027826497993"/>
          <c:h val="0.106701947388959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8"/>
          <c:order val="0"/>
          <c:tx>
            <c:strRef>
              <c:f>'Daten Sektor Landwirtschaft'!$B$11</c:f>
              <c:strCache>
                <c:ptCount val="1"/>
                <c:pt idx="0">
                  <c:v>CRF 1.A.4.c - Stationäre &amp; mobile Feuerung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25400">
              <a:noFill/>
            </a:ln>
            <a:effectLst/>
          </c:spPr>
          <c:invertIfNegative val="0"/>
          <c:val>
            <c:numRef>
              <c:f>'Daten Sektor Landwirtschaft'!$D$11:$AR$11</c:f>
              <c:numCache>
                <c:formatCode>#,##0.0</c:formatCode>
                <c:ptCount val="21"/>
                <c:pt idx="0">
                  <c:v>7.7945635406249485</c:v>
                </c:pt>
                <c:pt idx="1">
                  <c:v>8.3278571158537709</c:v>
                </c:pt>
                <c:pt idx="2">
                  <c:v>7.9600537252762287</c:v>
                </c:pt>
                <c:pt idx="3">
                  <c:v>8.0233398522928834</c:v>
                </c:pt>
                <c:pt idx="4">
                  <c:v>8.5447179955571162</c:v>
                </c:pt>
                <c:pt idx="5">
                  <c:v>8.3132974494333105</c:v>
                </c:pt>
                <c:pt idx="6">
                  <c:v>8.4414402182532857</c:v>
                </c:pt>
                <c:pt idx="7">
                  <c:v>7.8843264346500614</c:v>
                </c:pt>
                <c:pt idx="8">
                  <c:v>7.9179379279530755</c:v>
                </c:pt>
                <c:pt idx="9">
                  <c:v>7.8503752001666447</c:v>
                </c:pt>
                <c:pt idx="10">
                  <c:v>8.1239666700996285</c:v>
                </c:pt>
                <c:pt idx="11">
                  <c:v>8.3937430342932675</c:v>
                </c:pt>
                <c:pt idx="12">
                  <c:v>8.247589451353269</c:v>
                </c:pt>
                <c:pt idx="13">
                  <c:v>8.1678880628319579</c:v>
                </c:pt>
                <c:pt idx="14">
                  <c:v>8.4354881511445434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090-459C-8B91-C2E67B35A783}"/>
            </c:ext>
          </c:extLst>
        </c:ser>
        <c:ser>
          <c:idx val="0"/>
          <c:order val="1"/>
          <c:tx>
            <c:strRef>
              <c:f>'Daten Sektor Landwirtschaft'!$B$12</c:f>
              <c:strCache>
                <c:ptCount val="1"/>
                <c:pt idx="0">
                  <c:v>CRF 3.A - Landwirtschaft - Fermentation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Landwirtschaft'!$D$10:$AR$10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Landwirtschaft'!$D$12:$AR$12</c:f>
              <c:numCache>
                <c:formatCode>#,##0.0</c:formatCode>
                <c:ptCount val="21"/>
                <c:pt idx="0">
                  <c:v>28.53247120740393</c:v>
                </c:pt>
                <c:pt idx="1">
                  <c:v>28.155945314903871</c:v>
                </c:pt>
                <c:pt idx="2">
                  <c:v>28.163273131963606</c:v>
                </c:pt>
                <c:pt idx="3">
                  <c:v>28.507578627677042</c:v>
                </c:pt>
                <c:pt idx="4">
                  <c:v>28.742703133701891</c:v>
                </c:pt>
                <c:pt idx="5">
                  <c:v>28.721441281620329</c:v>
                </c:pt>
                <c:pt idx="6">
                  <c:v>28.434003751455798</c:v>
                </c:pt>
                <c:pt idx="7">
                  <c:v>28.215544219039035</c:v>
                </c:pt>
                <c:pt idx="8">
                  <c:v>27.790150005689931</c:v>
                </c:pt>
                <c:pt idx="9">
                  <c:v>27.476871225137458</c:v>
                </c:pt>
                <c:pt idx="10">
                  <c:v>27.0625176954435</c:v>
                </c:pt>
                <c:pt idx="11">
                  <c:v>26.548185404291232</c:v>
                </c:pt>
                <c:pt idx="12">
                  <c:v>26.305697604082898</c:v>
                </c:pt>
                <c:pt idx="13">
                  <c:v>26.179433515408501</c:v>
                </c:pt>
                <c:pt idx="14">
                  <c:v>25.421809326975048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0-459C-8B91-C2E67B35A783}"/>
            </c:ext>
          </c:extLst>
        </c:ser>
        <c:ser>
          <c:idx val="1"/>
          <c:order val="2"/>
          <c:tx>
            <c:strRef>
              <c:f>'Daten Sektor Landwirtschaft'!$B$13</c:f>
              <c:strCache>
                <c:ptCount val="1"/>
                <c:pt idx="0">
                  <c:v>CRF 3.B - Landwirtschaft - Düngerwirtschaft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Landwirtschaft'!$D$10:$AR$10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Landwirtschaft'!$D$13:$AR$13</c:f>
              <c:numCache>
                <c:formatCode>#,##0.0</c:formatCode>
                <c:ptCount val="21"/>
                <c:pt idx="0">
                  <c:v>10.49504042746335</c:v>
                </c:pt>
                <c:pt idx="1">
                  <c:v>10.390164907102442</c:v>
                </c:pt>
                <c:pt idx="2">
                  <c:v>10.487578227949243</c:v>
                </c:pt>
                <c:pt idx="3">
                  <c:v>10.534253864314618</c:v>
                </c:pt>
                <c:pt idx="4">
                  <c:v>10.656711717714042</c:v>
                </c:pt>
                <c:pt idx="5">
                  <c:v>10.606155759718218</c:v>
                </c:pt>
                <c:pt idx="6">
                  <c:v>10.575533935221223</c:v>
                </c:pt>
                <c:pt idx="7">
                  <c:v>10.57844560984365</c:v>
                </c:pt>
                <c:pt idx="8">
                  <c:v>10.432703340154013</c:v>
                </c:pt>
                <c:pt idx="9">
                  <c:v>10.374643648321795</c:v>
                </c:pt>
                <c:pt idx="10">
                  <c:v>10.251428391478273</c:v>
                </c:pt>
                <c:pt idx="11">
                  <c:v>9.8151404785593765</c:v>
                </c:pt>
                <c:pt idx="12">
                  <c:v>9.3771043153825619</c:v>
                </c:pt>
                <c:pt idx="13">
                  <c:v>9.3476529027537918</c:v>
                </c:pt>
                <c:pt idx="14">
                  <c:v>9.1834497034571552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90-459C-8B91-C2E67B35A783}"/>
            </c:ext>
          </c:extLst>
        </c:ser>
        <c:ser>
          <c:idx val="2"/>
          <c:order val="3"/>
          <c:tx>
            <c:strRef>
              <c:f>'Daten Sektor Landwirtschaft'!$B$14</c:f>
              <c:strCache>
                <c:ptCount val="1"/>
                <c:pt idx="0">
                  <c:v>CRF 3.D - Landwirtschaft - Landwirtschaftliche Böden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Landwirtschaft'!$D$10:$AR$10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Landwirtschaft'!$D$14:$AR$14</c:f>
              <c:numCache>
                <c:formatCode>#,##0.0</c:formatCode>
                <c:ptCount val="21"/>
                <c:pt idx="0">
                  <c:v>17.496175402670669</c:v>
                </c:pt>
                <c:pt idx="1">
                  <c:v>17.789295957610964</c:v>
                </c:pt>
                <c:pt idx="2">
                  <c:v>18.122976408676628</c:v>
                </c:pt>
                <c:pt idx="3">
                  <c:v>18.275259300764418</c:v>
                </c:pt>
                <c:pt idx="4">
                  <c:v>18.747273325638908</c:v>
                </c:pt>
                <c:pt idx="5">
                  <c:v>18.77387461662294</c:v>
                </c:pt>
                <c:pt idx="6">
                  <c:v>18.787899923786377</c:v>
                </c:pt>
                <c:pt idx="7">
                  <c:v>18.070039503265907</c:v>
                </c:pt>
                <c:pt idx="8">
                  <c:v>17.774482578994455</c:v>
                </c:pt>
                <c:pt idx="9">
                  <c:v>17.18272493533734</c:v>
                </c:pt>
                <c:pt idx="10">
                  <c:v>16.713893575311701</c:v>
                </c:pt>
                <c:pt idx="11">
                  <c:v>16.081349148447899</c:v>
                </c:pt>
                <c:pt idx="12">
                  <c:v>15.815881925574789</c:v>
                </c:pt>
                <c:pt idx="13">
                  <c:v>15.16451869378391</c:v>
                </c:pt>
                <c:pt idx="14">
                  <c:v>15.124592232107659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90-459C-8B91-C2E67B35A783}"/>
            </c:ext>
          </c:extLst>
        </c:ser>
        <c:ser>
          <c:idx val="3"/>
          <c:order val="4"/>
          <c:tx>
            <c:strRef>
              <c:f>'Daten Sektor Landwirtschaft'!$B$15</c:f>
              <c:strCache>
                <c:ptCount val="1"/>
                <c:pt idx="0">
                  <c:v>CRF 3.G - Landwirtschaft - Kalkung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/>
          </c:spPr>
          <c:invertIfNegative val="0"/>
          <c:cat>
            <c:numRef>
              <c:f>'Daten Sektor Landwirtschaft'!$D$10:$AR$10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Landwirtschaft'!$D$15:$AR$15</c:f>
              <c:numCache>
                <c:formatCode>#,##0.0</c:formatCode>
                <c:ptCount val="21"/>
                <c:pt idx="0">
                  <c:v>1.5490008412794591</c:v>
                </c:pt>
                <c:pt idx="1">
                  <c:v>1.5932639130940478</c:v>
                </c:pt>
                <c:pt idx="2">
                  <c:v>1.6920846129581979</c:v>
                </c:pt>
                <c:pt idx="3">
                  <c:v>1.8245301506517635</c:v>
                </c:pt>
                <c:pt idx="4">
                  <c:v>1.9172560062283042</c:v>
                </c:pt>
                <c:pt idx="5">
                  <c:v>1.9057889653428215</c:v>
                </c:pt>
                <c:pt idx="6">
                  <c:v>1.8817710978389952</c:v>
                </c:pt>
                <c:pt idx="7">
                  <c:v>1.9376313819510826</c:v>
                </c:pt>
                <c:pt idx="8">
                  <c:v>2.0474384710724456</c:v>
                </c:pt>
                <c:pt idx="9">
                  <c:v>2.0388381471044408</c:v>
                </c:pt>
                <c:pt idx="10">
                  <c:v>2.0097765735279882</c:v>
                </c:pt>
                <c:pt idx="11">
                  <c:v>1.9826148498016076</c:v>
                </c:pt>
                <c:pt idx="12">
                  <c:v>1.9946207401739058</c:v>
                </c:pt>
                <c:pt idx="13">
                  <c:v>1.9601301645960274</c:v>
                </c:pt>
                <c:pt idx="14">
                  <c:v>1.8339958969471077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5090-459C-8B91-C2E67B35A783}"/>
            </c:ext>
          </c:extLst>
        </c:ser>
        <c:ser>
          <c:idx val="4"/>
          <c:order val="5"/>
          <c:tx>
            <c:strRef>
              <c:f>'Daten Sektor Landwirtschaft'!$B$16</c:f>
              <c:strCache>
                <c:ptCount val="1"/>
                <c:pt idx="0">
                  <c:v>CRF 3.H - Landwirtschaft - Harnstoffanwendung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invertIfNegative val="0"/>
          <c:val>
            <c:numRef>
              <c:f>'Daten Sektor Landwirtschaft'!$D$16:$AR$16</c:f>
              <c:numCache>
                <c:formatCode>#,##0.0</c:formatCode>
                <c:ptCount val="21"/>
                <c:pt idx="0">
                  <c:v>0.71075347585693016</c:v>
                </c:pt>
                <c:pt idx="1">
                  <c:v>0.65402883303604753</c:v>
                </c:pt>
                <c:pt idx="2">
                  <c:v>0.6899058568397396</c:v>
                </c:pt>
                <c:pt idx="3">
                  <c:v>0.67255047587429517</c:v>
                </c:pt>
                <c:pt idx="4">
                  <c:v>0.74970499965922499</c:v>
                </c:pt>
                <c:pt idx="5">
                  <c:v>0.79149504757356282</c:v>
                </c:pt>
                <c:pt idx="6">
                  <c:v>0.81514216629614755</c:v>
                </c:pt>
                <c:pt idx="7">
                  <c:v>0.71956657113292433</c:v>
                </c:pt>
                <c:pt idx="8">
                  <c:v>0.6052506425715527</c:v>
                </c:pt>
                <c:pt idx="9">
                  <c:v>0.49774816644041742</c:v>
                </c:pt>
                <c:pt idx="10">
                  <c:v>0.43326538077639454</c:v>
                </c:pt>
                <c:pt idx="11">
                  <c:v>0.39729616648607746</c:v>
                </c:pt>
                <c:pt idx="12">
                  <c:v>0.3669992855265154</c:v>
                </c:pt>
                <c:pt idx="13">
                  <c:v>0.36008369032299226</c:v>
                </c:pt>
                <c:pt idx="14">
                  <c:v>0.33020585700323973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090-459C-8B91-C2E67B35A783}"/>
            </c:ext>
          </c:extLst>
        </c:ser>
        <c:ser>
          <c:idx val="5"/>
          <c:order val="6"/>
          <c:tx>
            <c:strRef>
              <c:f>'Daten Sektor Landwirtschaft'!$B$17</c:f>
              <c:strCache>
                <c:ptCount val="1"/>
                <c:pt idx="0">
                  <c:v>CRF 3.I - Landwirtschaft - Andere kohlenstoffhaltige Düngemittel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  <a:effectLst/>
          </c:spPr>
          <c:invertIfNegative val="0"/>
          <c:val>
            <c:numRef>
              <c:f>'Daten Sektor Landwirtschaft'!$D$17:$AR$17</c:f>
              <c:numCache>
                <c:formatCode>#,##0.0</c:formatCode>
                <c:ptCount val="21"/>
                <c:pt idx="0">
                  <c:v>0.25723667252799998</c:v>
                </c:pt>
                <c:pt idx="1">
                  <c:v>0.26410290675999998</c:v>
                </c:pt>
                <c:pt idx="2">
                  <c:v>0.253914204852</c:v>
                </c:pt>
                <c:pt idx="3">
                  <c:v>0.24028784538</c:v>
                </c:pt>
                <c:pt idx="4">
                  <c:v>0.23622273914799999</c:v>
                </c:pt>
                <c:pt idx="5">
                  <c:v>0.23067260471200002</c:v>
                </c:pt>
                <c:pt idx="6">
                  <c:v>0.225715710264</c:v>
                </c:pt>
                <c:pt idx="7">
                  <c:v>0.21303624601600002</c:v>
                </c:pt>
                <c:pt idx="8">
                  <c:v>0.20270871922399999</c:v>
                </c:pt>
                <c:pt idx="9">
                  <c:v>0.19421726350399998</c:v>
                </c:pt>
                <c:pt idx="10">
                  <c:v>0.18545922916399998</c:v>
                </c:pt>
                <c:pt idx="11">
                  <c:v>0.17554705748800001</c:v>
                </c:pt>
                <c:pt idx="12">
                  <c:v>0.157481660248</c:v>
                </c:pt>
                <c:pt idx="13">
                  <c:v>0.14363226046399999</c:v>
                </c:pt>
                <c:pt idx="14">
                  <c:v>0.1448050571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090-459C-8B91-C2E67B35A783}"/>
            </c:ext>
          </c:extLst>
        </c:ser>
        <c:ser>
          <c:idx val="7"/>
          <c:order val="7"/>
          <c:tx>
            <c:strRef>
              <c:f>'Daten Sektor Landwirtschaft'!$B$18</c:f>
              <c:strCache>
                <c:ptCount val="1"/>
                <c:pt idx="0">
                  <c:v>CRF 3.J - Andere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invertIfNegative val="0"/>
          <c:val>
            <c:numRef>
              <c:f>'Daten Sektor Landwirtschaft'!$D$18:$AR$18</c:f>
              <c:numCache>
                <c:formatCode>#,##0.0</c:formatCode>
                <c:ptCount val="21"/>
                <c:pt idx="0">
                  <c:v>1.1444910048528245</c:v>
                </c:pt>
                <c:pt idx="1">
                  <c:v>1.3831921651114185</c:v>
                </c:pt>
                <c:pt idx="2">
                  <c:v>1.4045219897341621</c:v>
                </c:pt>
                <c:pt idx="3">
                  <c:v>1.6801232693857429</c:v>
                </c:pt>
                <c:pt idx="4">
                  <c:v>1.7356160245531322</c:v>
                </c:pt>
                <c:pt idx="5">
                  <c:v>1.7792109982246587</c:v>
                </c:pt>
                <c:pt idx="6">
                  <c:v>1.7463122479056101</c:v>
                </c:pt>
                <c:pt idx="7">
                  <c:v>1.6964453257936349</c:v>
                </c:pt>
                <c:pt idx="8">
                  <c:v>1.6491503786518822</c:v>
                </c:pt>
                <c:pt idx="9">
                  <c:v>1.6048582067931096</c:v>
                </c:pt>
                <c:pt idx="10">
                  <c:v>1.5938325961412312</c:v>
                </c:pt>
                <c:pt idx="11">
                  <c:v>1.5172033447236006</c:v>
                </c:pt>
                <c:pt idx="12">
                  <c:v>1.636647398537026</c:v>
                </c:pt>
                <c:pt idx="13">
                  <c:v>1.636647398537026</c:v>
                </c:pt>
                <c:pt idx="14">
                  <c:v>1.636647398537026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090-459C-8B91-C2E67B35A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6"/>
          <c:order val="8"/>
          <c:tx>
            <c:strRef>
              <c:f>'Daten Sektor Landwirtschaft'!$B$19</c:f>
              <c:strCache>
                <c:ptCount val="1"/>
                <c:pt idx="0">
                  <c:v>5 - Landwirtschaft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92-49F4-BF31-4448E4E924B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92-49F4-BF31-4448E4E924B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92-49F4-BF31-4448E4E924B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92-49F4-BF31-4448E4E924B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92-49F4-BF31-4448E4E924B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92-49F4-BF31-4448E4E924B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92-49F4-BF31-4448E4E924B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92-49F4-BF31-4448E4E924B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92-49F4-BF31-4448E4E924B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C92-49F4-BF31-4448E4E924BC}"/>
                </c:ext>
              </c:extLst>
            </c:dLbl>
            <c:dLbl>
              <c:idx val="10"/>
              <c:layout>
                <c:manualLayout>
                  <c:x val="-2.6445580558354453E-2"/>
                  <c:y val="-5.67074533198625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5F-462E-9609-DC52CBADDEEB}"/>
                </c:ext>
              </c:extLst>
            </c:dLbl>
            <c:dLbl>
              <c:idx val="11"/>
              <c:layout>
                <c:manualLayout>
                  <c:x val="-2.6445580558354529E-2"/>
                  <c:y val="-6.485409283106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1A-4F53-B627-EA27E706D6C5}"/>
                </c:ext>
              </c:extLst>
            </c:dLbl>
            <c:dLbl>
              <c:idx val="12"/>
              <c:layout>
                <c:manualLayout>
                  <c:x val="-2.6445580558354376E-2"/>
                  <c:y val="-7.0285185838531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0A-4A11-89B3-4F406E2861C0}"/>
                </c:ext>
              </c:extLst>
            </c:dLbl>
            <c:dLbl>
              <c:idx val="13"/>
              <c:layout>
                <c:manualLayout>
                  <c:x val="-2.6445580558354453E-2"/>
                  <c:y val="-7.3000732342265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E9-449A-90CD-A6AC17DF8992}"/>
                </c:ext>
              </c:extLst>
            </c:dLbl>
            <c:dLbl>
              <c:idx val="14"/>
              <c:layout>
                <c:manualLayout>
                  <c:x val="-2.6445580558354376E-2"/>
                  <c:y val="-7.3000732342265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E9-449A-90CD-A6AC17DF8992}"/>
                </c:ext>
              </c:extLst>
            </c:dLbl>
            <c:numFmt formatCode="#,##0" sourceLinked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accent5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Landwirtschaft'!$D$19:$AR$19</c:f>
              <c:numCache>
                <c:formatCode>#,##0.0</c:formatCode>
                <c:ptCount val="21"/>
                <c:pt idx="0">
                  <c:v>67.979732572680106</c:v>
                </c:pt>
                <c:pt idx="1">
                  <c:v>68.557851113472566</c:v>
                </c:pt>
                <c:pt idx="2">
                  <c:v>68.774308158249795</c:v>
                </c:pt>
                <c:pt idx="3">
                  <c:v>69.757923386340764</c:v>
                </c:pt>
                <c:pt idx="4">
                  <c:v>71.330205942200607</c:v>
                </c:pt>
                <c:pt idx="5">
                  <c:v>71.121936723247856</c:v>
                </c:pt>
                <c:pt idx="6">
                  <c:v>70.907819051021434</c:v>
                </c:pt>
                <c:pt idx="7">
                  <c:v>69.315035291692283</c:v>
                </c:pt>
                <c:pt idx="8">
                  <c:v>68.419822064311361</c:v>
                </c:pt>
                <c:pt idx="9">
                  <c:v>67.220276792805208</c:v>
                </c:pt>
                <c:pt idx="10">
                  <c:v>66.374140111942722</c:v>
                </c:pt>
                <c:pt idx="11">
                  <c:v>64.911079484091061</c:v>
                </c:pt>
                <c:pt idx="12">
                  <c:v>63.902022380878968</c:v>
                </c:pt>
                <c:pt idx="13">
                  <c:v>62.959986688698208</c:v>
                </c:pt>
                <c:pt idx="14">
                  <c:v>62.110993623271767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90-459C-8B91-C2E67B35A783}"/>
            </c:ext>
          </c:extLst>
        </c:ser>
        <c:ser>
          <c:idx val="9"/>
          <c:order val="9"/>
          <c:tx>
            <c:strRef>
              <c:f>'Daten Sektor Landwirtschaft'!$B$21:$C$21</c:f>
              <c:strCache>
                <c:ptCount val="2"/>
                <c:pt idx="0">
                  <c:v>5 - Landwirtschaft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prstDash val="sysDot"/>
              </a:ln>
              <a:effectLst/>
            </c:spPr>
          </c:marker>
          <c:dLbls>
            <c:dLbl>
              <c:idx val="10"/>
              <c:layout>
                <c:manualLayout>
                  <c:x val="-2.6445580558354453E-2"/>
                  <c:y val="-6.4854092831064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E9-449A-90CD-A6AC17DF8992}"/>
                </c:ext>
              </c:extLst>
            </c:dLbl>
            <c:dLbl>
              <c:idx val="11"/>
              <c:layout>
                <c:manualLayout>
                  <c:x val="-2.6445580558354529E-2"/>
                  <c:y val="-7.843182534973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E9-449A-90CD-A6AC17DF8992}"/>
                </c:ext>
              </c:extLst>
            </c:dLbl>
            <c:dLbl>
              <c:idx val="12"/>
              <c:layout>
                <c:manualLayout>
                  <c:x val="-2.6445580558354376E-2"/>
                  <c:y val="-7.843182534973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E9-449A-90CD-A6AC17DF8992}"/>
                </c:ext>
              </c:extLst>
            </c:dLbl>
            <c:dLbl>
              <c:idx val="13"/>
              <c:layout>
                <c:manualLayout>
                  <c:x val="-2.6445580558354453E-2"/>
                  <c:y val="-7.843182534973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E9-449A-90CD-A6AC17DF8992}"/>
                </c:ext>
              </c:extLst>
            </c:dLbl>
            <c:dLbl>
              <c:idx val="14"/>
              <c:layout>
                <c:manualLayout>
                  <c:x val="-2.6445580558354376E-2"/>
                  <c:y val="-7.5716278845999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90-48F1-8DA6-F78AF70A795A}"/>
                </c:ext>
              </c:extLst>
            </c:dLbl>
            <c:dLbl>
              <c:idx val="15"/>
              <c:layout>
                <c:manualLayout>
                  <c:x val="-2.6445580558354376E-2"/>
                  <c:y val="-5.942299982359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E9-449A-90CD-A6AC17DF899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A0-431E-B199-95AC778AF34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A0-431E-B199-95AC778AF34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A0-431E-B199-95AC778AF34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A0-431E-B199-95AC778AF340}"/>
                </c:ext>
              </c:extLst>
            </c:dLbl>
            <c:numFmt formatCode="#,##0" sourceLinked="0"/>
            <c:spPr>
              <a:noFill/>
              <a:ln w="25400">
                <a:solidFill>
                  <a:schemeClr val="accent5"/>
                </a:solidFill>
                <a:prstDash val="sysDot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'Daten Sektor Landwirtschaft'!$D$21:$AR$21</c:f>
              <c:numCache>
                <c:formatCode>#,##0</c:formatCode>
                <c:ptCount val="21"/>
                <c:pt idx="10" formatCode="#,##0.0">
                  <c:v>70</c:v>
                </c:pt>
                <c:pt idx="11" formatCode="#,##0.0">
                  <c:v>68</c:v>
                </c:pt>
                <c:pt idx="12" formatCode="#,##0.0">
                  <c:v>67.592627518947467</c:v>
                </c:pt>
                <c:pt idx="13" formatCode="#,##0.0">
                  <c:v>67.362442884434003</c:v>
                </c:pt>
                <c:pt idx="14" formatCode="#,##0.0">
                  <c:v>66.991365198110543</c:v>
                </c:pt>
                <c:pt idx="15" formatCode="#,##0.0">
                  <c:v>65.804760460583651</c:v>
                </c:pt>
                <c:pt idx="16" formatCode="#,##0.0">
                  <c:v>64.804760460583651</c:v>
                </c:pt>
                <c:pt idx="17" formatCode="#,##0.0">
                  <c:v>63.804760460583658</c:v>
                </c:pt>
                <c:pt idx="18" formatCode="#,##0.0">
                  <c:v>61.804760460583658</c:v>
                </c:pt>
                <c:pt idx="19" formatCode="#,##0.0">
                  <c:v>59.804760460583658</c:v>
                </c:pt>
                <c:pt idx="20" formatCode="#,##0.0">
                  <c:v>58.804760460583658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5090-459C-8B91-C2E67B35A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Landwirtschaft'!$C$5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lang="de-DE"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8"/>
        <c:delete val="1"/>
      </c:legendEntry>
      <c:legendEntry>
        <c:idx val="9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ayout>
        <c:manualLayout>
          <c:xMode val="edge"/>
          <c:yMode val="edge"/>
          <c:x val="1.4666650081062132E-3"/>
          <c:y val="0.78423959110374364"/>
          <c:w val="0.99853333499189378"/>
          <c:h val="0.180458328655964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7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Abfallwirtschaft'!$B$11</c:f>
              <c:strCache>
                <c:ptCount val="1"/>
                <c:pt idx="0">
                  <c:v>CRF 5.A - Abfalldeponierung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Abfallwirtschaft'!$D$10:$AR$10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Abfallwirtschaft'!$D$11:$AR$11</c:f>
              <c:numCache>
                <c:formatCode>#,##0.0</c:formatCode>
                <c:ptCount val="21"/>
                <c:pt idx="0">
                  <c:v>9.0151880000000002</c:v>
                </c:pt>
                <c:pt idx="1">
                  <c:v>8.0675279999999994</c:v>
                </c:pt>
                <c:pt idx="2">
                  <c:v>7.2332399999999986</c:v>
                </c:pt>
                <c:pt idx="3">
                  <c:v>6.4712479999999992</c:v>
                </c:pt>
                <c:pt idx="4">
                  <c:v>5.7966160000000002</c:v>
                </c:pt>
                <c:pt idx="5">
                  <c:v>5.1918439999999997</c:v>
                </c:pt>
                <c:pt idx="6">
                  <c:v>4.657184</c:v>
                </c:pt>
                <c:pt idx="7">
                  <c:v>4.2841399999999998</c:v>
                </c:pt>
                <c:pt idx="8">
                  <c:v>3.9445839999999999</c:v>
                </c:pt>
                <c:pt idx="9">
                  <c:v>3.4267239999999997</c:v>
                </c:pt>
                <c:pt idx="10">
                  <c:v>2.973096</c:v>
                </c:pt>
                <c:pt idx="11">
                  <c:v>2.685508</c:v>
                </c:pt>
                <c:pt idx="12">
                  <c:v>2.4319007999999998</c:v>
                </c:pt>
                <c:pt idx="13">
                  <c:v>2.2451295999999998</c:v>
                </c:pt>
                <c:pt idx="14">
                  <c:v>2.072476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1-41E7-951D-17C46FEEE48A}"/>
            </c:ext>
          </c:extLst>
        </c:ser>
        <c:ser>
          <c:idx val="1"/>
          <c:order val="1"/>
          <c:tx>
            <c:strRef>
              <c:f>'Daten Sektor Abfallwirtschaft'!$B$12</c:f>
              <c:strCache>
                <c:ptCount val="1"/>
                <c:pt idx="0">
                  <c:v>CRF 5.B - biologische Behandlung von festen Abfällen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Abfallwirtschaft'!$D$10:$AR$10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Abfallwirtschaft'!$D$12:$AR$12</c:f>
              <c:numCache>
                <c:formatCode>#,##0.0</c:formatCode>
                <c:ptCount val="21"/>
                <c:pt idx="0">
                  <c:v>0.75787296166000007</c:v>
                </c:pt>
                <c:pt idx="1">
                  <c:v>0.84886990368000004</c:v>
                </c:pt>
                <c:pt idx="2">
                  <c:v>0.88514523103999976</c:v>
                </c:pt>
                <c:pt idx="3">
                  <c:v>0.87896271961999994</c:v>
                </c:pt>
                <c:pt idx="4">
                  <c:v>0.95098706046000003</c:v>
                </c:pt>
                <c:pt idx="5">
                  <c:v>0.95283242503999988</c:v>
                </c:pt>
                <c:pt idx="6">
                  <c:v>0.97731824433999992</c:v>
                </c:pt>
                <c:pt idx="7">
                  <c:v>0.99279035799999993</c:v>
                </c:pt>
                <c:pt idx="8">
                  <c:v>0.96334625699999987</c:v>
                </c:pt>
                <c:pt idx="9">
                  <c:v>0.98143663149999993</c:v>
                </c:pt>
                <c:pt idx="10">
                  <c:v>0.97974194749999988</c:v>
                </c:pt>
                <c:pt idx="11">
                  <c:v>1.0580991975</c:v>
                </c:pt>
                <c:pt idx="12">
                  <c:v>1.0588411465199996</c:v>
                </c:pt>
                <c:pt idx="13">
                  <c:v>1.0846426087050001</c:v>
                </c:pt>
                <c:pt idx="14">
                  <c:v>1.1221995630549999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F1-41E7-951D-17C46FEEE48A}"/>
            </c:ext>
          </c:extLst>
        </c:ser>
        <c:ser>
          <c:idx val="2"/>
          <c:order val="2"/>
          <c:tx>
            <c:strRef>
              <c:f>'Daten Sektor Abfallwirtschaft'!$B$13</c:f>
              <c:strCache>
                <c:ptCount val="1"/>
                <c:pt idx="0">
                  <c:v>CRF 5.D - Abwasserbehandlung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Abfallwirtschaft'!$D$10:$AR$10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Abfallwirtschaft'!$D$13:$AR$13</c:f>
              <c:numCache>
                <c:formatCode>#,##0.0</c:formatCode>
                <c:ptCount val="21"/>
                <c:pt idx="0">
                  <c:v>2.3825023084971879</c:v>
                </c:pt>
                <c:pt idx="1">
                  <c:v>2.3537194550504426</c:v>
                </c:pt>
                <c:pt idx="2">
                  <c:v>2.3277045550433004</c:v>
                </c:pt>
                <c:pt idx="3">
                  <c:v>2.3010193939737387</c:v>
                </c:pt>
                <c:pt idx="4">
                  <c:v>2.2778632152079434</c:v>
                </c:pt>
                <c:pt idx="5">
                  <c:v>2.2629020460106219</c:v>
                </c:pt>
                <c:pt idx="6">
                  <c:v>2.2352887751703712</c:v>
                </c:pt>
                <c:pt idx="7">
                  <c:v>2.2154060624636482</c:v>
                </c:pt>
                <c:pt idx="8">
                  <c:v>2.1903116644381608</c:v>
                </c:pt>
                <c:pt idx="9">
                  <c:v>2.1653609667640228</c:v>
                </c:pt>
                <c:pt idx="10">
                  <c:v>2.1363719683100082</c:v>
                </c:pt>
                <c:pt idx="11">
                  <c:v>2.140368858539011</c:v>
                </c:pt>
                <c:pt idx="12">
                  <c:v>2.1287706950400431</c:v>
                </c:pt>
                <c:pt idx="13">
                  <c:v>2.1315085348780185</c:v>
                </c:pt>
                <c:pt idx="14">
                  <c:v>2.1334445605737273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F1-41E7-951D-17C46FEEE48A}"/>
            </c:ext>
          </c:extLst>
        </c:ser>
        <c:ser>
          <c:idx val="3"/>
          <c:order val="3"/>
          <c:tx>
            <c:strRef>
              <c:f>'Daten Sektor Abfallwirtschaft'!$B$14</c:f>
              <c:strCache>
                <c:ptCount val="1"/>
                <c:pt idx="0">
                  <c:v>CRF 5.E - übrige Emissionen - Andere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invertIfNegative val="0"/>
          <c:cat>
            <c:numRef>
              <c:f>'Daten Sektor Abfallwirtschaft'!$D$10:$AR$10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Abfallwirtschaft'!$D$14:$AR$14</c:f>
              <c:numCache>
                <c:formatCode>#,##0.0</c:formatCode>
                <c:ptCount val="21"/>
                <c:pt idx="0">
                  <c:v>3.6388534139999998E-2</c:v>
                </c:pt>
                <c:pt idx="1">
                  <c:v>3.919445823E-2</c:v>
                </c:pt>
                <c:pt idx="2">
                  <c:v>3.7363555530000002E-2</c:v>
                </c:pt>
                <c:pt idx="3">
                  <c:v>3.6500665979999992E-2</c:v>
                </c:pt>
                <c:pt idx="4">
                  <c:v>3.6857210189999996E-2</c:v>
                </c:pt>
                <c:pt idx="5">
                  <c:v>3.5897957339999995E-2</c:v>
                </c:pt>
                <c:pt idx="6">
                  <c:v>3.4584788370000001E-2</c:v>
                </c:pt>
                <c:pt idx="7">
                  <c:v>3.3490626900000001E-2</c:v>
                </c:pt>
                <c:pt idx="8">
                  <c:v>3.3033339239999994E-2</c:v>
                </c:pt>
                <c:pt idx="9">
                  <c:v>3.2802067319999996E-2</c:v>
                </c:pt>
                <c:pt idx="10">
                  <c:v>3.2233523849999994E-2</c:v>
                </c:pt>
                <c:pt idx="11">
                  <c:v>3.1459989359999989E-2</c:v>
                </c:pt>
                <c:pt idx="12">
                  <c:v>3.0101266830000001E-2</c:v>
                </c:pt>
                <c:pt idx="13">
                  <c:v>2.8742544299999999E-2</c:v>
                </c:pt>
                <c:pt idx="14">
                  <c:v>2.738382177E-2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FDF1-41E7-951D-17C46FEEE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6"/>
          <c:order val="4"/>
          <c:tx>
            <c:strRef>
              <c:f>'Daten Sektor Abfallwirtschaft'!$B$15</c:f>
              <c:strCache>
                <c:ptCount val="1"/>
                <c:pt idx="0">
                  <c:v>6 - Abfallwirtschaft und Sonstiges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19-40AB-82EB-E99DE24701C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19-40AB-82EB-E99DE24701C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19-40AB-82EB-E99DE24701C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19-40AB-82EB-E99DE24701C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19-40AB-82EB-E99DE24701C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19-40AB-82EB-E99DE24701C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19-40AB-82EB-E99DE24701C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19-40AB-82EB-E99DE24701C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19-40AB-82EB-E99DE24701C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19-40AB-82EB-E99DE24701C2}"/>
                </c:ext>
              </c:extLst>
            </c:dLbl>
            <c:numFmt formatCode="#,##0.0" sourceLinked="0"/>
            <c:spPr>
              <a:solidFill>
                <a:schemeClr val="accent3">
                  <a:lumMod val="20000"/>
                  <a:lumOff val="80000"/>
                </a:schemeClr>
              </a:solidFill>
              <a:ln w="19050">
                <a:solidFill>
                  <a:schemeClr val="accent3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Abfallwirtschaft'!$D$15:$AR$15</c:f>
              <c:numCache>
                <c:formatCode>#,##0.0</c:formatCode>
                <c:ptCount val="21"/>
                <c:pt idx="0">
                  <c:v>12.191951804297188</c:v>
                </c:pt>
                <c:pt idx="1">
                  <c:v>11.309311816960442</c:v>
                </c:pt>
                <c:pt idx="2">
                  <c:v>10.4834533416133</c:v>
                </c:pt>
                <c:pt idx="3">
                  <c:v>9.6877307795737373</c:v>
                </c:pt>
                <c:pt idx="4">
                  <c:v>9.0623234858579433</c:v>
                </c:pt>
                <c:pt idx="5">
                  <c:v>8.443476428390623</c:v>
                </c:pt>
                <c:pt idx="6">
                  <c:v>7.9043758078803714</c:v>
                </c:pt>
                <c:pt idx="7">
                  <c:v>7.5258270473636477</c:v>
                </c:pt>
                <c:pt idx="8">
                  <c:v>7.1312752606781604</c:v>
                </c:pt>
                <c:pt idx="9">
                  <c:v>6.6063236655840223</c:v>
                </c:pt>
                <c:pt idx="10">
                  <c:v>6.1214434396600081</c:v>
                </c:pt>
                <c:pt idx="11">
                  <c:v>5.9154360453990105</c:v>
                </c:pt>
                <c:pt idx="12">
                  <c:v>5.6496139083900427</c:v>
                </c:pt>
                <c:pt idx="13">
                  <c:v>5.4900232878830186</c:v>
                </c:pt>
                <c:pt idx="14">
                  <c:v>5.355503945398727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F1-41E7-951D-17C46FEEE48A}"/>
            </c:ext>
          </c:extLst>
        </c:ser>
        <c:ser>
          <c:idx val="9"/>
          <c:order val="5"/>
          <c:tx>
            <c:strRef>
              <c:f>'Daten Sektor Abfallwirtschaft'!$B$17:$C$17</c:f>
              <c:strCache>
                <c:ptCount val="2"/>
                <c:pt idx="0">
                  <c:v>6 - Abfallwirtschaft und Sonstiges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ysDot"/>
              </a:ln>
              <a:effectLst/>
            </c:spPr>
          </c:marker>
          <c:dLbls>
            <c:dLbl>
              <c:idx val="13"/>
              <c:layout>
                <c:manualLayout>
                  <c:x val="-2.738283307003694E-2"/>
                  <c:y val="-2.9871011541072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57-47A6-8B17-BCAB3658F7B8}"/>
                </c:ext>
              </c:extLst>
            </c:dLbl>
            <c:dLbl>
              <c:idx val="14"/>
              <c:layout>
                <c:manualLayout>
                  <c:x val="-2.7382833070036861E-2"/>
                  <c:y val="-3.5302104548540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57-47A6-8B17-BCAB3658F7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57-47A6-8B17-BCAB3658F7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57-47A6-8B17-BCAB3658F7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57-47A6-8B17-BCAB3658F7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57-47A6-8B17-BCAB3658F7B8}"/>
                </c:ext>
              </c:extLst>
            </c:dLbl>
            <c:numFmt formatCode="#,##0.0" sourceLinked="0"/>
            <c:spPr>
              <a:noFill/>
              <a:ln w="25400">
                <a:solidFill>
                  <a:schemeClr val="accent3"/>
                </a:solidFill>
                <a:prstDash val="sysDot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'Daten Sektor Abfallwirtschaft'!$D$17:$AR$17</c:f>
              <c:numCache>
                <c:formatCode>#,##0.0</c:formatCode>
                <c:ptCount val="21"/>
                <c:pt idx="10">
                  <c:v>9</c:v>
                </c:pt>
                <c:pt idx="11">
                  <c:v>9</c:v>
                </c:pt>
                <c:pt idx="12">
                  <c:v>8.5006613839937355</c:v>
                </c:pt>
                <c:pt idx="13">
                  <c:v>8.8556929007255043</c:v>
                </c:pt>
                <c:pt idx="14">
                  <c:v>8.3365028454172894</c:v>
                </c:pt>
                <c:pt idx="15">
                  <c:v>8.8333359954203825</c:v>
                </c:pt>
                <c:pt idx="16">
                  <c:v>7.8333359954203834</c:v>
                </c:pt>
                <c:pt idx="17">
                  <c:v>7.8333359954203834</c:v>
                </c:pt>
                <c:pt idx="18">
                  <c:v>6.8333359954203834</c:v>
                </c:pt>
                <c:pt idx="19">
                  <c:v>6.8333359954203834</c:v>
                </c:pt>
                <c:pt idx="20">
                  <c:v>5.8333359954203834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FDF1-41E7-951D-17C46FEEE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Abfallwirtschaft'!$C$5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4"/>
        <c:delete val="1"/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ayout>
        <c:manualLayout>
          <c:xMode val="edge"/>
          <c:yMode val="edge"/>
          <c:x val="1.1998500187476568E-2"/>
          <c:y val="0.78423959110374364"/>
          <c:w val="0.97341974433290623"/>
          <c:h val="0.112569666062617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7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54</xdr:row>
      <xdr:rowOff>0</xdr:rowOff>
    </xdr:from>
    <xdr:to>
      <xdr:col>38</xdr:col>
      <xdr:colOff>0</xdr:colOff>
      <xdr:row>54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369298" y="13090071"/>
          <a:ext cx="18993666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38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67393" y="352425"/>
          <a:ext cx="18274393" cy="1496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36857" y="860977"/>
    <xdr:ext cx="6469451" cy="4599144"/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E90AA573-3092-42D0-A496-954240A74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  <xdr:absoluteAnchor>
    <xdr:pos x="2352210" y="5580080"/>
    <xdr:ext cx="3587767" cy="208189"/>
    <xdr:sp macro="" textlink="'Daten Sektorgrafik'!C3">
      <xdr:nvSpPr>
        <xdr:cNvPr id="3" name="Textfeld 2">
          <a:extLst>
            <a:ext uri="{FF2B5EF4-FFF2-40B4-BE49-F238E27FC236}">
              <a16:creationId xmlns:a16="http://schemas.microsoft.com/office/drawing/2014/main" id="{82732426-D0B8-43F5-94A5-274959364A52}"/>
            </a:ext>
          </a:extLst>
        </xdr:cNvPr>
        <xdr:cNvSpPr txBox="1"/>
      </xdr:nvSpPr>
      <xdr:spPr>
        <a:xfrm>
          <a:off x="2352210" y="5580080"/>
          <a:ext cx="3587767" cy="208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11.03.2025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8696C6D7-517D-408E-95F6-1D85F8AFE176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grafik'!C1">
      <xdr:nvSpPr>
        <xdr:cNvPr id="5" name="Textfeld 4">
          <a:extLst>
            <a:ext uri="{FF2B5EF4-FFF2-40B4-BE49-F238E27FC236}">
              <a16:creationId xmlns:a16="http://schemas.microsoft.com/office/drawing/2014/main" id="{6EAF854E-86FA-494F-B9DF-7BFFFA346E4D}"/>
            </a:ext>
          </a:extLst>
        </xdr:cNvPr>
        <xdr:cNvSpPr txBox="1"/>
      </xdr:nvSpPr>
      <xdr:spPr>
        <a:xfrm>
          <a:off x="0" y="265967"/>
          <a:ext cx="591378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8C9DD9F4-7C53-4732-B12C-7EE22D525D51}" type="TxLink">
            <a:rPr lang="en-US" sz="1000" b="1" i="0" u="none" strike="noStrike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der Treibhausgasemissionen in Deutschland</a:t>
          </a:fld>
          <a:endParaRPr lang="de-DE" sz="100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grafik'!C2">
      <xdr:nvSpPr>
        <xdr:cNvPr id="6" name="Textfeld 5">
          <a:extLst>
            <a:ext uri="{FF2B5EF4-FFF2-40B4-BE49-F238E27FC236}">
              <a16:creationId xmlns:a16="http://schemas.microsoft.com/office/drawing/2014/main" id="{FC7B7AEF-E6AF-48C6-973F-34B31FEB5EEA}"/>
            </a:ext>
          </a:extLst>
        </xdr:cNvPr>
        <xdr:cNvSpPr txBox="1"/>
      </xdr:nvSpPr>
      <xdr:spPr>
        <a:xfrm>
          <a:off x="0" y="396875"/>
          <a:ext cx="9144000" cy="2317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5A0C01-EC6F-4056-BE6F-2F3F5BFCC892}" type="TxLink">
            <a:rPr lang="en-US" sz="900" b="0" i="0" u="none" strike="noStrike">
              <a:solidFill>
                <a:srgbClr val="000000"/>
              </a:solidFill>
              <a:latin typeface="+mn-lt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in der Abgrenzung der Sektoren des Klimaschutzgesetzes (KSG) *</a:t>
          </a:fld>
          <a:endParaRPr lang="de-DE" sz="8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3DF1A2F6-A0EC-4BD4-A6BD-897D400A3988}"/>
            </a:ext>
          </a:extLst>
        </xdr:cNvPr>
        <xdr:cNvCxnSpPr/>
      </xdr:nvCxnSpPr>
      <xdr:spPr>
        <a:xfrm>
          <a:off x="12226976" y="2120340"/>
          <a:ext cx="529903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971A5236-D99D-44CB-ACD6-B7DEF8E2BF50}"/>
            </a:ext>
          </a:extLst>
        </xdr:cNvPr>
        <xdr:cNvCxnSpPr/>
      </xdr:nvCxnSpPr>
      <xdr:spPr>
        <a:xfrm>
          <a:off x="91113" y="193983"/>
          <a:ext cx="90598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41BD2591-4273-4D2E-824F-353AD12EEBCD}"/>
            </a:ext>
          </a:extLst>
        </xdr:cNvPr>
        <xdr:cNvCxnSpPr/>
      </xdr:nvCxnSpPr>
      <xdr:spPr>
        <a:xfrm>
          <a:off x="129213" y="4491243"/>
          <a:ext cx="90601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126176</xdr:colOff>
      <xdr:row>18</xdr:row>
      <xdr:rowOff>964538</xdr:rowOff>
    </xdr:from>
    <xdr:to>
      <xdr:col>12</xdr:col>
      <xdr:colOff>42329</xdr:colOff>
      <xdr:row>18</xdr:row>
      <xdr:rowOff>964538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DC10AD7E-97CA-4A3C-9188-DEE4138E310D}"/>
            </a:ext>
          </a:extLst>
        </xdr:cNvPr>
        <xdr:cNvCxnSpPr/>
      </xdr:nvCxnSpPr>
      <xdr:spPr>
        <a:xfrm>
          <a:off x="126176" y="3622013"/>
          <a:ext cx="90601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98A41BCC-08B6-4CA2-BCB1-425F09D57E13}"/>
            </a:ext>
          </a:extLst>
        </xdr:cNvPr>
        <xdr:cNvCxnSpPr/>
      </xdr:nvCxnSpPr>
      <xdr:spPr>
        <a:xfrm>
          <a:off x="12226962" y="2504662"/>
          <a:ext cx="529903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7D21B7DB-2F4A-4E9D-BCF9-1A568E670789}"/>
            </a:ext>
          </a:extLst>
        </xdr:cNvPr>
        <xdr:cNvCxnSpPr/>
      </xdr:nvCxnSpPr>
      <xdr:spPr>
        <a:xfrm>
          <a:off x="14461397" y="712325"/>
          <a:ext cx="0" cy="29076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8ABEC795-BC44-486D-918F-2FA6B51895E8}"/>
            </a:ext>
          </a:extLst>
        </xdr:cNvPr>
        <xdr:cNvCxnSpPr/>
      </xdr:nvCxnSpPr>
      <xdr:spPr>
        <a:xfrm>
          <a:off x="14693311" y="712337"/>
          <a:ext cx="0" cy="29076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1ACCCB9C-AEDA-46A9-9D7A-926004B1AC4D}"/>
            </a:ext>
          </a:extLst>
        </xdr:cNvPr>
        <xdr:cNvSpPr txBox="1"/>
      </xdr:nvSpPr>
      <xdr:spPr>
        <a:xfrm>
          <a:off x="15563187" y="7110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927C6B5B-5FEA-4906-BD30-9DAADC549368}"/>
            </a:ext>
          </a:extLst>
        </xdr:cNvPr>
        <xdr:cNvCxnSpPr/>
      </xdr:nvCxnSpPr>
      <xdr:spPr>
        <a:xfrm>
          <a:off x="12226976" y="2120340"/>
          <a:ext cx="529903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F7A98CA3-2C3E-4248-A2C1-A1B49EE0D917}"/>
            </a:ext>
          </a:extLst>
        </xdr:cNvPr>
        <xdr:cNvCxnSpPr/>
      </xdr:nvCxnSpPr>
      <xdr:spPr>
        <a:xfrm>
          <a:off x="12226962" y="2504662"/>
          <a:ext cx="529903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D826D546-F28A-4F23-8330-7E8ED26109B7}"/>
            </a:ext>
          </a:extLst>
        </xdr:cNvPr>
        <xdr:cNvCxnSpPr/>
      </xdr:nvCxnSpPr>
      <xdr:spPr>
        <a:xfrm>
          <a:off x="14461397" y="712325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8241EA2B-0D08-486F-A9E9-DEEB400EA32E}"/>
            </a:ext>
          </a:extLst>
        </xdr:cNvPr>
        <xdr:cNvCxnSpPr/>
      </xdr:nvCxnSpPr>
      <xdr:spPr>
        <a:xfrm>
          <a:off x="13807072" y="1002228"/>
          <a:ext cx="0" cy="2817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CA7DD8E5-92CA-426A-B6F8-F078ABDF87A5}"/>
            </a:ext>
          </a:extLst>
        </xdr:cNvPr>
        <xdr:cNvSpPr txBox="1"/>
      </xdr:nvSpPr>
      <xdr:spPr>
        <a:xfrm>
          <a:off x="15545073" y="711065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4388210" cy="340923"/>
    <xdr:sp macro="" textlink="'Daten Sektorgrafik'!C4">
      <xdr:nvSpPr>
        <xdr:cNvPr id="20" name="Textfeld 19">
          <a:extLst>
            <a:ext uri="{FF2B5EF4-FFF2-40B4-BE49-F238E27FC236}">
              <a16:creationId xmlns:a16="http://schemas.microsoft.com/office/drawing/2014/main" id="{3928039F-A703-4601-BC3F-24537F857F7A}"/>
            </a:ext>
          </a:extLst>
        </xdr:cNvPr>
        <xdr:cNvSpPr txBox="1"/>
      </xdr:nvSpPr>
      <xdr:spPr>
        <a:xfrm>
          <a:off x="103194" y="5564577"/>
          <a:ext cx="4388210" cy="340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696F9E1-28CB-44D4-8068-9C6966C8C857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</a:t>
          </a:fld>
          <a:endParaRPr lang="de-DE" sz="200" b="0" i="1" u="none" strike="noStrike">
            <a:solidFill>
              <a:srgbClr val="080808"/>
            </a:solidFill>
            <a:latin typeface="Meta Offc" pitchFamily="34" charset="0"/>
            <a:cs typeface="Meta Serif Offc" pitchFamily="2" charset="0"/>
          </a:endParaRPr>
        </a:p>
      </xdr:txBody>
    </xdr:sp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30</xdr:row>
      <xdr:rowOff>0</xdr:rowOff>
    </xdr:from>
    <xdr:to>
      <xdr:col>44</xdr:col>
      <xdr:colOff>0</xdr:colOff>
      <xdr:row>30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B784C861-3F48-47DE-9F84-291AB71D2EA9}"/>
            </a:ext>
          </a:extLst>
        </xdr:cNvPr>
        <xdr:cNvCxnSpPr/>
      </xdr:nvCxnSpPr>
      <xdr:spPr>
        <a:xfrm flipV="1">
          <a:off x="360493" y="7306235"/>
          <a:ext cx="30119507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B0310537-D961-428F-BAA2-C3FBE50714F7}"/>
            </a:ext>
          </a:extLst>
        </xdr:cNvPr>
        <xdr:cNvCxnSpPr/>
      </xdr:nvCxnSpPr>
      <xdr:spPr>
        <a:xfrm>
          <a:off x="358588" y="2100543"/>
          <a:ext cx="3012141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187</xdr:row>
      <xdr:rowOff>0</xdr:rowOff>
    </xdr:from>
    <xdr:to>
      <xdr:col>44</xdr:col>
      <xdr:colOff>0</xdr:colOff>
      <xdr:row>187</xdr:row>
      <xdr:rowOff>2</xdr:rowOff>
    </xdr:to>
    <xdr:cxnSp macro="">
      <xdr:nvCxnSpPr>
        <xdr:cNvPr id="4" name="Gerade Verbindung 1">
          <a:extLst>
            <a:ext uri="{FF2B5EF4-FFF2-40B4-BE49-F238E27FC236}">
              <a16:creationId xmlns:a16="http://schemas.microsoft.com/office/drawing/2014/main" id="{4AD75305-2982-45AE-A470-861A2B3A7010}"/>
            </a:ext>
          </a:extLst>
        </xdr:cNvPr>
        <xdr:cNvCxnSpPr/>
      </xdr:nvCxnSpPr>
      <xdr:spPr>
        <a:xfrm flipV="1">
          <a:off x="363855" y="356139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43</xdr:row>
      <xdr:rowOff>0</xdr:rowOff>
    </xdr:from>
    <xdr:to>
      <xdr:col>44</xdr:col>
      <xdr:colOff>0</xdr:colOff>
      <xdr:row>43</xdr:row>
      <xdr:rowOff>2</xdr:rowOff>
    </xdr:to>
    <xdr:cxnSp macro="">
      <xdr:nvCxnSpPr>
        <xdr:cNvPr id="5" name="Gerade Verbindung 1">
          <a:extLst>
            <a:ext uri="{FF2B5EF4-FFF2-40B4-BE49-F238E27FC236}">
              <a16:creationId xmlns:a16="http://schemas.microsoft.com/office/drawing/2014/main" id="{EC941A9F-5920-4068-869B-B83AB1BBAD9E}"/>
            </a:ext>
          </a:extLst>
        </xdr:cNvPr>
        <xdr:cNvCxnSpPr/>
      </xdr:nvCxnSpPr>
      <xdr:spPr>
        <a:xfrm flipV="1">
          <a:off x="363855" y="93249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187</xdr:row>
      <xdr:rowOff>0</xdr:rowOff>
    </xdr:from>
    <xdr:to>
      <xdr:col>44</xdr:col>
      <xdr:colOff>0</xdr:colOff>
      <xdr:row>187</xdr:row>
      <xdr:rowOff>2</xdr:rowOff>
    </xdr:to>
    <xdr:cxnSp macro="">
      <xdr:nvCxnSpPr>
        <xdr:cNvPr id="6" name="Gerade Verbindung 1">
          <a:extLst>
            <a:ext uri="{FF2B5EF4-FFF2-40B4-BE49-F238E27FC236}">
              <a16:creationId xmlns:a16="http://schemas.microsoft.com/office/drawing/2014/main" id="{2FD6A6B9-EF22-47FA-A934-7EDDE28CB01E}"/>
            </a:ext>
          </a:extLst>
        </xdr:cNvPr>
        <xdr:cNvCxnSpPr/>
      </xdr:nvCxnSpPr>
      <xdr:spPr>
        <a:xfrm flipV="1">
          <a:off x="363855" y="356139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163</xdr:row>
      <xdr:rowOff>0</xdr:rowOff>
    </xdr:from>
    <xdr:to>
      <xdr:col>44</xdr:col>
      <xdr:colOff>0</xdr:colOff>
      <xdr:row>163</xdr:row>
      <xdr:rowOff>2</xdr:rowOff>
    </xdr:to>
    <xdr:cxnSp macro="">
      <xdr:nvCxnSpPr>
        <xdr:cNvPr id="7" name="Gerade Verbindung 1">
          <a:extLst>
            <a:ext uri="{FF2B5EF4-FFF2-40B4-BE49-F238E27FC236}">
              <a16:creationId xmlns:a16="http://schemas.microsoft.com/office/drawing/2014/main" id="{DDA10D24-9698-460B-A26C-4E8D2D9E7853}"/>
            </a:ext>
          </a:extLst>
        </xdr:cNvPr>
        <xdr:cNvCxnSpPr/>
      </xdr:nvCxnSpPr>
      <xdr:spPr>
        <a:xfrm flipV="1">
          <a:off x="363855" y="312324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163</xdr:row>
      <xdr:rowOff>0</xdr:rowOff>
    </xdr:from>
    <xdr:to>
      <xdr:col>44</xdr:col>
      <xdr:colOff>0</xdr:colOff>
      <xdr:row>163</xdr:row>
      <xdr:rowOff>2</xdr:rowOff>
    </xdr:to>
    <xdr:cxnSp macro="">
      <xdr:nvCxnSpPr>
        <xdr:cNvPr id="8" name="Gerade Verbindung 1">
          <a:extLst>
            <a:ext uri="{FF2B5EF4-FFF2-40B4-BE49-F238E27FC236}">
              <a16:creationId xmlns:a16="http://schemas.microsoft.com/office/drawing/2014/main" id="{183B5E5F-7A57-4F45-9B97-DA211B20094D}"/>
            </a:ext>
          </a:extLst>
        </xdr:cNvPr>
        <xdr:cNvCxnSpPr/>
      </xdr:nvCxnSpPr>
      <xdr:spPr>
        <a:xfrm flipV="1">
          <a:off x="363855" y="312324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139</xdr:row>
      <xdr:rowOff>0</xdr:rowOff>
    </xdr:from>
    <xdr:to>
      <xdr:col>44</xdr:col>
      <xdr:colOff>0</xdr:colOff>
      <xdr:row>139</xdr:row>
      <xdr:rowOff>2</xdr:rowOff>
    </xdr:to>
    <xdr:cxnSp macro="">
      <xdr:nvCxnSpPr>
        <xdr:cNvPr id="9" name="Gerade Verbindung 1">
          <a:extLst>
            <a:ext uri="{FF2B5EF4-FFF2-40B4-BE49-F238E27FC236}">
              <a16:creationId xmlns:a16="http://schemas.microsoft.com/office/drawing/2014/main" id="{E8CFC68D-6665-4668-AC49-F6E097A53F54}"/>
            </a:ext>
          </a:extLst>
        </xdr:cNvPr>
        <xdr:cNvCxnSpPr/>
      </xdr:nvCxnSpPr>
      <xdr:spPr>
        <a:xfrm flipV="1">
          <a:off x="363855" y="268509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139</xdr:row>
      <xdr:rowOff>0</xdr:rowOff>
    </xdr:from>
    <xdr:to>
      <xdr:col>44</xdr:col>
      <xdr:colOff>0</xdr:colOff>
      <xdr:row>139</xdr:row>
      <xdr:rowOff>2</xdr:rowOff>
    </xdr:to>
    <xdr:cxnSp macro="">
      <xdr:nvCxnSpPr>
        <xdr:cNvPr id="10" name="Gerade Verbindung 1">
          <a:extLst>
            <a:ext uri="{FF2B5EF4-FFF2-40B4-BE49-F238E27FC236}">
              <a16:creationId xmlns:a16="http://schemas.microsoft.com/office/drawing/2014/main" id="{5B5CAD1A-BDFB-4B29-A853-EA69538D6B4E}"/>
            </a:ext>
          </a:extLst>
        </xdr:cNvPr>
        <xdr:cNvCxnSpPr/>
      </xdr:nvCxnSpPr>
      <xdr:spPr>
        <a:xfrm flipV="1">
          <a:off x="363855" y="268509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115</xdr:row>
      <xdr:rowOff>0</xdr:rowOff>
    </xdr:from>
    <xdr:to>
      <xdr:col>44</xdr:col>
      <xdr:colOff>0</xdr:colOff>
      <xdr:row>115</xdr:row>
      <xdr:rowOff>2</xdr:rowOff>
    </xdr:to>
    <xdr:cxnSp macro="">
      <xdr:nvCxnSpPr>
        <xdr:cNvPr id="11" name="Gerade Verbindung 1">
          <a:extLst>
            <a:ext uri="{FF2B5EF4-FFF2-40B4-BE49-F238E27FC236}">
              <a16:creationId xmlns:a16="http://schemas.microsoft.com/office/drawing/2014/main" id="{E8723C94-E92A-4A0A-85D0-9C5F718B42F7}"/>
            </a:ext>
          </a:extLst>
        </xdr:cNvPr>
        <xdr:cNvCxnSpPr/>
      </xdr:nvCxnSpPr>
      <xdr:spPr>
        <a:xfrm flipV="1">
          <a:off x="363855" y="224694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115</xdr:row>
      <xdr:rowOff>0</xdr:rowOff>
    </xdr:from>
    <xdr:to>
      <xdr:col>44</xdr:col>
      <xdr:colOff>0</xdr:colOff>
      <xdr:row>115</xdr:row>
      <xdr:rowOff>2</xdr:rowOff>
    </xdr:to>
    <xdr:cxnSp macro="">
      <xdr:nvCxnSpPr>
        <xdr:cNvPr id="12" name="Gerade Verbindung 1">
          <a:extLst>
            <a:ext uri="{FF2B5EF4-FFF2-40B4-BE49-F238E27FC236}">
              <a16:creationId xmlns:a16="http://schemas.microsoft.com/office/drawing/2014/main" id="{8A5DF603-29E0-44CC-86C0-E3EC0D990404}"/>
            </a:ext>
          </a:extLst>
        </xdr:cNvPr>
        <xdr:cNvCxnSpPr/>
      </xdr:nvCxnSpPr>
      <xdr:spPr>
        <a:xfrm flipV="1">
          <a:off x="363855" y="224694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91</xdr:row>
      <xdr:rowOff>0</xdr:rowOff>
    </xdr:from>
    <xdr:to>
      <xdr:col>44</xdr:col>
      <xdr:colOff>0</xdr:colOff>
      <xdr:row>91</xdr:row>
      <xdr:rowOff>2</xdr:rowOff>
    </xdr:to>
    <xdr:cxnSp macro="">
      <xdr:nvCxnSpPr>
        <xdr:cNvPr id="13" name="Gerade Verbindung 1">
          <a:extLst>
            <a:ext uri="{FF2B5EF4-FFF2-40B4-BE49-F238E27FC236}">
              <a16:creationId xmlns:a16="http://schemas.microsoft.com/office/drawing/2014/main" id="{4866F875-33FB-404A-8D64-27439EB06EC2}"/>
            </a:ext>
          </a:extLst>
        </xdr:cNvPr>
        <xdr:cNvCxnSpPr/>
      </xdr:nvCxnSpPr>
      <xdr:spPr>
        <a:xfrm flipV="1">
          <a:off x="363855" y="180879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91</xdr:row>
      <xdr:rowOff>0</xdr:rowOff>
    </xdr:from>
    <xdr:to>
      <xdr:col>44</xdr:col>
      <xdr:colOff>0</xdr:colOff>
      <xdr:row>91</xdr:row>
      <xdr:rowOff>2</xdr:rowOff>
    </xdr:to>
    <xdr:cxnSp macro="">
      <xdr:nvCxnSpPr>
        <xdr:cNvPr id="14" name="Gerade Verbindung 1">
          <a:extLst>
            <a:ext uri="{FF2B5EF4-FFF2-40B4-BE49-F238E27FC236}">
              <a16:creationId xmlns:a16="http://schemas.microsoft.com/office/drawing/2014/main" id="{6DF2DAF9-8501-4006-B46F-8854ADB4C10C}"/>
            </a:ext>
          </a:extLst>
        </xdr:cNvPr>
        <xdr:cNvCxnSpPr/>
      </xdr:nvCxnSpPr>
      <xdr:spPr>
        <a:xfrm flipV="1">
          <a:off x="363855" y="180879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67</xdr:row>
      <xdr:rowOff>0</xdr:rowOff>
    </xdr:from>
    <xdr:to>
      <xdr:col>44</xdr:col>
      <xdr:colOff>0</xdr:colOff>
      <xdr:row>67</xdr:row>
      <xdr:rowOff>2</xdr:rowOff>
    </xdr:to>
    <xdr:cxnSp macro="">
      <xdr:nvCxnSpPr>
        <xdr:cNvPr id="15" name="Gerade Verbindung 1">
          <a:extLst>
            <a:ext uri="{FF2B5EF4-FFF2-40B4-BE49-F238E27FC236}">
              <a16:creationId xmlns:a16="http://schemas.microsoft.com/office/drawing/2014/main" id="{073C1C4F-2139-494E-A9F5-5E36848ECFB9}"/>
            </a:ext>
          </a:extLst>
        </xdr:cNvPr>
        <xdr:cNvCxnSpPr/>
      </xdr:nvCxnSpPr>
      <xdr:spPr>
        <a:xfrm flipV="1">
          <a:off x="363855" y="137064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67</xdr:row>
      <xdr:rowOff>0</xdr:rowOff>
    </xdr:from>
    <xdr:to>
      <xdr:col>44</xdr:col>
      <xdr:colOff>0</xdr:colOff>
      <xdr:row>67</xdr:row>
      <xdr:rowOff>2</xdr:rowOff>
    </xdr:to>
    <xdr:cxnSp macro="">
      <xdr:nvCxnSpPr>
        <xdr:cNvPr id="16" name="Gerade Verbindung 1">
          <a:extLst>
            <a:ext uri="{FF2B5EF4-FFF2-40B4-BE49-F238E27FC236}">
              <a16:creationId xmlns:a16="http://schemas.microsoft.com/office/drawing/2014/main" id="{22744861-4345-4B89-A022-857A32A9AF3B}"/>
            </a:ext>
          </a:extLst>
        </xdr:cNvPr>
        <xdr:cNvCxnSpPr/>
      </xdr:nvCxnSpPr>
      <xdr:spPr>
        <a:xfrm flipV="1">
          <a:off x="363855" y="13706475"/>
          <a:ext cx="186575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212437"/>
    <xdr:sp macro="" textlink="'Daten Sektorgrafik'!C3">
      <xdr:nvSpPr>
        <xdr:cNvPr id="3" name="Textfeld 2">
          <a:extLst>
            <a:ext uri="{FF2B5EF4-FFF2-40B4-BE49-F238E27FC236}">
              <a16:creationId xmlns:a16="http://schemas.microsoft.com/office/drawing/2014/main" id="{E82E9EEE-89B4-44CB-A9B4-4A1AC6A6D2D3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11.03.2025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E18CBBD-AF2D-4162-9FC1-D915685D538E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Zielpfadgrafik'!$C$1">
      <xdr:nvSpPr>
        <xdr:cNvPr id="5" name="Textfeld 4">
          <a:extLst>
            <a:ext uri="{FF2B5EF4-FFF2-40B4-BE49-F238E27FC236}">
              <a16:creationId xmlns:a16="http://schemas.microsoft.com/office/drawing/2014/main" id="{21FB9302-2700-4E05-A1B7-CBC31CC13365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Zielpfadgrafik'!$C$2">
      <xdr:nvSpPr>
        <xdr:cNvPr id="6" name="Textfeld 5">
          <a:extLst>
            <a:ext uri="{FF2B5EF4-FFF2-40B4-BE49-F238E27FC236}">
              <a16:creationId xmlns:a16="http://schemas.microsoft.com/office/drawing/2014/main" id="{B43A09B5-8347-4D5D-AA00-3DBC3FE76E14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in der Abgrenzung der Sektoren des Klimaschutzgesetzes (KSG)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4A23BC9B-75E3-45AA-9172-E571EED76CB1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18FAB369-5577-4C69-975F-8A9DD932EEA8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EA182B0F-48DC-4732-91F8-793FFAB74A0A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644128BC-36C5-4BE2-ACDD-D8BB3FD4E35C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E9C2C1F-D558-42EA-971F-E0D09F5533A3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6A7E0332-2426-4CBA-AB64-2CE0C964E838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CE3E1A95-CE75-4821-80BA-427403093883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776A57DB-8A05-46B1-B620-A1DA44EE6CE4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E01AABA7-5BB9-49D8-8899-045216E4BA51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15842B09-E809-47AE-BA87-63B67C11693D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76418</xdr:colOff>
      <xdr:row>3</xdr:row>
      <xdr:rowOff>159632</xdr:rowOff>
    </xdr:from>
    <xdr:to>
      <xdr:col>18</xdr:col>
      <xdr:colOff>76418</xdr:colOff>
      <xdr:row>18</xdr:row>
      <xdr:rowOff>1049651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B787D658-FF92-4235-A27B-B14B732D4A50}"/>
            </a:ext>
          </a:extLst>
        </xdr:cNvPr>
        <xdr:cNvCxnSpPr/>
      </xdr:nvCxnSpPr>
      <xdr:spPr>
        <a:xfrm>
          <a:off x="9037245" y="914305"/>
          <a:ext cx="0" cy="4025942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81F4438-52C4-4012-BB56-B6C302A19B97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Zielpfadgrafik'!C4">
      <xdr:nvSpPr>
        <xdr:cNvPr id="20" name="Textfeld 19">
          <a:extLst>
            <a:ext uri="{FF2B5EF4-FFF2-40B4-BE49-F238E27FC236}">
              <a16:creationId xmlns:a16="http://schemas.microsoft.com/office/drawing/2014/main" id="{72D316CB-609D-48BE-9434-2FB36DB816D9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B2FAD449-AE17-485C-9A0D-F27D829ABB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802F7A28-398C-4B0C-ACC6-CB649E670B52}"/>
            </a:ext>
          </a:extLst>
        </xdr:cNvPr>
        <xdr:cNvCxnSpPr/>
      </xdr:nvCxnSpPr>
      <xdr:spPr>
        <a:xfrm>
          <a:off x="126176" y="4426509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212437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013C326B-75E0-4492-9D26-E600FE0CC5C2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11.03.2025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3B6AD11-175A-416D-B7C5-53057412D7D4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Zielpfadgrafik'!$C$1">
      <xdr:nvSpPr>
        <xdr:cNvPr id="4" name="Textfeld 3">
          <a:extLst>
            <a:ext uri="{FF2B5EF4-FFF2-40B4-BE49-F238E27FC236}">
              <a16:creationId xmlns:a16="http://schemas.microsoft.com/office/drawing/2014/main" id="{F73F0DB1-0799-47F9-BAF6-D12F12416606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Zielpfadgrafik'!$C$2">
      <xdr:nvSpPr>
        <xdr:cNvPr id="5" name="Textfeld 4">
          <a:extLst>
            <a:ext uri="{FF2B5EF4-FFF2-40B4-BE49-F238E27FC236}">
              <a16:creationId xmlns:a16="http://schemas.microsoft.com/office/drawing/2014/main" id="{B5B8C73D-A65A-4100-B9CF-D92F31593302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in der Abgrenzung der Sektoren des Klimaschutzgesetzes (KSG)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9252EB5D-946B-40F4-ABB5-EA5EE58D0A1C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DBB41BE1-8A65-46B1-B733-FDA79F5D90EF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A3B52BAD-938D-406B-965E-FA50CAF9594E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44A707B-98C0-4804-B04F-36CE823730B5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45C9DC8B-F18A-453E-BC9A-0D3C4B6E19A2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CF8AF98-F5E8-4281-A75E-3A833BD029CD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E1436AFC-FE0C-4449-A48A-98EDCADF0202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1FE60361-036D-4505-AD10-00C17954342A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BD35E46E-9D0F-49CC-9678-C1BCFB55FE43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C4781C47-F045-4180-926D-CE51C6D9744E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CF822FA1-5777-4C66-A15B-50468F50340A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1F2B8555-A7DB-47C9-AC0D-26941772B010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Zielpfadgrafik'!C4">
      <xdr:nvSpPr>
        <xdr:cNvPr id="18" name="Textfeld 17">
          <a:extLst>
            <a:ext uri="{FF2B5EF4-FFF2-40B4-BE49-F238E27FC236}">
              <a16:creationId xmlns:a16="http://schemas.microsoft.com/office/drawing/2014/main" id="{F3DE638E-314C-419E-A11F-75A344CF6429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B7B70C2B-4EF9-4D39-BF94-B3FFF7957B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C5EA2A3E-F218-4274-85CB-9B25144E91BD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17</xdr:row>
      <xdr:rowOff>0</xdr:rowOff>
    </xdr:from>
    <xdr:to>
      <xdr:col>44</xdr:col>
      <xdr:colOff>0</xdr:colOff>
      <xdr:row>17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495ABD04-0880-4964-9C56-ECB6B4E589E4}"/>
            </a:ext>
          </a:extLst>
        </xdr:cNvPr>
        <xdr:cNvCxnSpPr/>
      </xdr:nvCxnSpPr>
      <xdr:spPr>
        <a:xfrm flipV="1">
          <a:off x="363855" y="6429375"/>
          <a:ext cx="301637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8</xdr:row>
      <xdr:rowOff>161925</xdr:rowOff>
    </xdr:from>
    <xdr:to>
      <xdr:col>44</xdr:col>
      <xdr:colOff>0</xdr:colOff>
      <xdr:row>8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14AFA643-A42F-4AA3-BE81-277D1EDCA7DF}"/>
            </a:ext>
          </a:extLst>
        </xdr:cNvPr>
        <xdr:cNvCxnSpPr/>
      </xdr:nvCxnSpPr>
      <xdr:spPr>
        <a:xfrm>
          <a:off x="361950" y="2124075"/>
          <a:ext cx="301656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4344865" y="5550773"/>
    <xdr:ext cx="1565804" cy="193536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5B8B7B87-76BA-429D-9C07-981D6414038C}"/>
            </a:ext>
          </a:extLst>
        </xdr:cNvPr>
        <xdr:cNvSpPr txBox="1"/>
      </xdr:nvSpPr>
      <xdr:spPr>
        <a:xfrm>
          <a:off x="4344865" y="5550773"/>
          <a:ext cx="1565804" cy="193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853B308C-16E4-4198-8E57-525C6E10C7DB}" type="TxLink">
            <a:rPr lang="en-US" sz="600" b="0" i="0" u="none" strike="noStrike">
              <a:solidFill>
                <a:srgbClr val="000000"/>
              </a:solidFill>
              <a:latin typeface="Cambria"/>
              <a:ea typeface="Cambria"/>
              <a:cs typeface="Calibri"/>
            </a:rPr>
            <a:pPr marL="0" indent="0" algn="r"/>
            <a:t>Quelle: Umweltbundesamt  11.03.2025</a:t>
          </a:fld>
          <a:endParaRPr lang="de-DE" sz="2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6208D066-01F9-4A9C-AD01-A5F6D46A34FC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Energiew.'!$C$1">
      <xdr:nvSpPr>
        <xdr:cNvPr id="4" name="Textfeld 3">
          <a:extLst>
            <a:ext uri="{FF2B5EF4-FFF2-40B4-BE49-F238E27FC236}">
              <a16:creationId xmlns:a16="http://schemas.microsoft.com/office/drawing/2014/main" id="{C2157F1B-643A-43B4-A2DA-D4A68C9C6289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Energiew.'!$C$2">
      <xdr:nvSpPr>
        <xdr:cNvPr id="5" name="Textfeld 4">
          <a:extLst>
            <a:ext uri="{FF2B5EF4-FFF2-40B4-BE49-F238E27FC236}">
              <a16:creationId xmlns:a16="http://schemas.microsoft.com/office/drawing/2014/main" id="{1CF7393C-255A-4197-BBD0-40B4D9C36854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Energiewirtschaft des Klimaschutzgesetzes (KSG) *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62967465-0FE0-468B-95AC-99150736C7C9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EA14B549-ED03-4C4C-B0AF-422B76127598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DAB6744D-E4DC-4E55-8EAA-7F3DDC480022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D2B2EF0F-FBD8-48EB-B2C7-733C4EDEC9FD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343D733-6988-401D-A81E-0BF3A268F3F4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3DA365D5-72FA-4937-9CA6-4BE659F00E3E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2E38D502-A9E5-4A01-934C-4062E8B96F6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7A3206F0-C291-4AEF-9CD6-9DA2F6165165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36791F0E-2EDC-453A-85A8-A0E9A51ED237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2E062733-A845-4C17-B096-33755480BA04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261D396-DC2A-4254-B859-F709A4E20656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6ED79658-BE13-4A37-9A3D-D9A4C49F589F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8"/>
    <xdr:ext cx="4021864" cy="238346"/>
    <xdr:sp macro="" textlink="'Daten Sektor Energiew.'!C4">
      <xdr:nvSpPr>
        <xdr:cNvPr id="18" name="Textfeld 17">
          <a:extLst>
            <a:ext uri="{FF2B5EF4-FFF2-40B4-BE49-F238E27FC236}">
              <a16:creationId xmlns:a16="http://schemas.microsoft.com/office/drawing/2014/main" id="{77DF343D-B41C-4A63-ACA0-23F138C01C78}"/>
            </a:ext>
          </a:extLst>
        </xdr:cNvPr>
        <xdr:cNvSpPr txBox="1"/>
      </xdr:nvSpPr>
      <xdr:spPr>
        <a:xfrm>
          <a:off x="103194" y="5564578"/>
          <a:ext cx="4021864" cy="2383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D9E890AB-15C6-495C-B5EE-BAA6222CA838}" type="TxLink"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14EF8E54-CBE9-4447-B5DE-1795FB7C309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8061B87D-738C-468D-AEF0-716E022EF04B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absoluteAnchor>
    <xdr:pos x="109055" y="5753613"/>
    <xdr:ext cx="4021864" cy="238346"/>
    <xdr:sp macro="" textlink="'Daten Sektor Energiew.'!C5">
      <xdr:nvSpPr>
        <xdr:cNvPr id="21" name="Textfeld 20">
          <a:extLst>
            <a:ext uri="{FF2B5EF4-FFF2-40B4-BE49-F238E27FC236}">
              <a16:creationId xmlns:a16="http://schemas.microsoft.com/office/drawing/2014/main" id="{3C45A816-ADDD-4C77-8A57-EDE17A074B7E}"/>
            </a:ext>
          </a:extLst>
        </xdr:cNvPr>
        <xdr:cNvSpPr txBox="1"/>
      </xdr:nvSpPr>
      <xdr:spPr>
        <a:xfrm>
          <a:off x="109055" y="5753613"/>
          <a:ext cx="4021864" cy="2383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9739D18B-4CF8-45B6-899D-4BB1AD5B27CE}" type="TxLink"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Offc"/>
            </a:rPr>
            <a:pPr marL="0" indent="0" algn="l"/>
            <a:t>*** EU-ETS-Anteile an CRF Kategorien basierend auf Auswertung für Bericht nach Art. 21 Emissionshandelsrichtlinie, jeweils jahresspezifisch angepasste Methodik</a:t>
          </a:fld>
          <a:endParaRPr lang="de-DE" sz="200" b="0" i="0" u="none" strike="noStrike">
            <a:solidFill>
              <a:srgbClr val="080808"/>
            </a:solidFill>
            <a:latin typeface="+mn-lt"/>
            <a:ea typeface="Cambria"/>
            <a:cs typeface="Meta Offc"/>
          </a:endParaRPr>
        </a:p>
      </xdr:txBody>
    </xdr:sp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19</xdr:row>
      <xdr:rowOff>0</xdr:rowOff>
    </xdr:from>
    <xdr:to>
      <xdr:col>44</xdr:col>
      <xdr:colOff>0</xdr:colOff>
      <xdr:row>19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16358D23-DB4E-49A1-8F43-FE30DD0A9688}"/>
            </a:ext>
          </a:extLst>
        </xdr:cNvPr>
        <xdr:cNvCxnSpPr/>
      </xdr:nvCxnSpPr>
      <xdr:spPr>
        <a:xfrm flipV="1">
          <a:off x="363855" y="6429375"/>
          <a:ext cx="201053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8</xdr:row>
      <xdr:rowOff>161925</xdr:rowOff>
    </xdr:from>
    <xdr:to>
      <xdr:col>44</xdr:col>
      <xdr:colOff>0</xdr:colOff>
      <xdr:row>8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40A5EFEA-251E-4A86-8505-EC16E3D1E8CD}"/>
            </a:ext>
          </a:extLst>
        </xdr:cNvPr>
        <xdr:cNvCxnSpPr/>
      </xdr:nvCxnSpPr>
      <xdr:spPr>
        <a:xfrm>
          <a:off x="361950" y="2124075"/>
          <a:ext cx="20107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2322902" y="5550773"/>
    <xdr:ext cx="3587767" cy="208190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54404212-D8A6-4A84-98C8-CB704D35DC1D}"/>
            </a:ext>
          </a:extLst>
        </xdr:cNvPr>
        <xdr:cNvSpPr txBox="1"/>
      </xdr:nvSpPr>
      <xdr:spPr>
        <a:xfrm>
          <a:off x="2322902" y="5550773"/>
          <a:ext cx="3587767" cy="2081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11.03.2025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9223758-D5D6-4BAC-A4C8-FB70EE104137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Industrie'!$C$1">
      <xdr:nvSpPr>
        <xdr:cNvPr id="4" name="Textfeld 3">
          <a:extLst>
            <a:ext uri="{FF2B5EF4-FFF2-40B4-BE49-F238E27FC236}">
              <a16:creationId xmlns:a16="http://schemas.microsoft.com/office/drawing/2014/main" id="{F060CD4A-F51A-4EA9-917A-7AB48B984B65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Industrie'!$C$2">
      <xdr:nvSpPr>
        <xdr:cNvPr id="5" name="Textfeld 4">
          <a:extLst>
            <a:ext uri="{FF2B5EF4-FFF2-40B4-BE49-F238E27FC236}">
              <a16:creationId xmlns:a16="http://schemas.microsoft.com/office/drawing/2014/main" id="{B310C648-83D8-4C0B-A43F-FA3ADE5765FA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Industrie des Klimaschutzgesetzes (KSG) *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9671870B-8940-4A83-929B-D394CCDC45EE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7A76E055-8C5B-4C83-8E04-CDC6661D894B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AC5AF52B-203F-412D-B777-55062041D176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29898FB1-A1C9-4D7C-B5D3-A351B03D2988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85FE937B-D759-48FC-9701-C2A7474107B7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2C606D5B-335F-46AC-B44B-6D4FE7A1FC11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17CAF916-E582-4284-8002-5FD77942CDA3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EFF4D56A-7B0A-4CE3-8E55-1FC41F400EC5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BD2B4F35-6494-41FD-A6FA-2BF10602DFB4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D5B6AC2A-406D-4AB5-87CD-0D13D97E09B1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296CE92A-65D7-4533-A7F8-9EE5C52B3ECF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6C1A21A1-A5FD-4F87-90D3-F2B9013EAB52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3809383" cy="201711"/>
    <xdr:sp macro="" textlink="'Daten Sektor Industrie'!C4">
      <xdr:nvSpPr>
        <xdr:cNvPr id="18" name="Textfeld 17">
          <a:extLst>
            <a:ext uri="{FF2B5EF4-FFF2-40B4-BE49-F238E27FC236}">
              <a16:creationId xmlns:a16="http://schemas.microsoft.com/office/drawing/2014/main" id="{86066D16-C682-430C-893F-CFBE5512D650}"/>
            </a:ext>
          </a:extLst>
        </xdr:cNvPr>
        <xdr:cNvSpPr txBox="1"/>
      </xdr:nvSpPr>
      <xdr:spPr>
        <a:xfrm>
          <a:off x="103194" y="5564577"/>
          <a:ext cx="3809383" cy="201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marL="0" indent="0"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600" b="0" i="0" u="none" strike="noStrike">
            <a:solidFill>
              <a:srgbClr val="080808"/>
            </a:solidFill>
            <a:latin typeface="+mn-lt"/>
            <a:ea typeface="Cambria"/>
            <a:cs typeface="Meta Offc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ACE000DE-2B14-49D8-BEC8-954DEF2508F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590A6711-A922-4803-AE23-B53F54650D3C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absoluteAnchor>
    <xdr:pos x="109054" y="5738958"/>
    <xdr:ext cx="3809383" cy="201711"/>
    <xdr:sp macro="" textlink="'Daten Sektor Industrie'!C5">
      <xdr:nvSpPr>
        <xdr:cNvPr id="21" name="Textfeld 20">
          <a:extLst>
            <a:ext uri="{FF2B5EF4-FFF2-40B4-BE49-F238E27FC236}">
              <a16:creationId xmlns:a16="http://schemas.microsoft.com/office/drawing/2014/main" id="{E589CBA1-1AAE-4C15-9B04-AE9979B4BE8A}"/>
            </a:ext>
          </a:extLst>
        </xdr:cNvPr>
        <xdr:cNvSpPr txBox="1"/>
      </xdr:nvSpPr>
      <xdr:spPr>
        <a:xfrm>
          <a:off x="109054" y="5738958"/>
          <a:ext cx="3809383" cy="201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74B12DFD-737F-47E6-81FA-5875B7C2FCC3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marL="0" indent="0" algn="l"/>
            <a:t>*** EU-ETS-Anteile an CRF Kategorien basierend auf Auswertung für Bericht nach Art. 21 Emissionshandelsrichtlinie, jeweils jahresspezifisch angepasste Methodik</a:t>
          </a:fld>
          <a:endParaRPr lang="de-DE" sz="600" b="0" i="0" u="none" strike="noStrike">
            <a:solidFill>
              <a:srgbClr val="080808"/>
            </a:solidFill>
            <a:latin typeface="+mn-lt"/>
            <a:ea typeface="Cambria"/>
            <a:cs typeface="Meta Offc"/>
          </a:endParaRPr>
        </a:p>
      </xdr:txBody>
    </xdr:sp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17</xdr:row>
      <xdr:rowOff>0</xdr:rowOff>
    </xdr:from>
    <xdr:to>
      <xdr:col>44</xdr:col>
      <xdr:colOff>0</xdr:colOff>
      <xdr:row>17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FCED194C-03FD-4D0C-A14A-394CB74F1166}"/>
            </a:ext>
          </a:extLst>
        </xdr:cNvPr>
        <xdr:cNvCxnSpPr/>
      </xdr:nvCxnSpPr>
      <xdr:spPr>
        <a:xfrm flipV="1">
          <a:off x="363855" y="6429375"/>
          <a:ext cx="326783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8</xdr:row>
      <xdr:rowOff>161925</xdr:rowOff>
    </xdr:from>
    <xdr:to>
      <xdr:col>44</xdr:col>
      <xdr:colOff>0</xdr:colOff>
      <xdr:row>8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3D7D067E-1E33-4BF4-AD66-47E2F0D69460}"/>
            </a:ext>
          </a:extLst>
        </xdr:cNvPr>
        <xdr:cNvCxnSpPr/>
      </xdr:nvCxnSpPr>
      <xdr:spPr>
        <a:xfrm>
          <a:off x="361950" y="2124075"/>
          <a:ext cx="32680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2322902" y="5550773"/>
    <xdr:ext cx="3587767" cy="178882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B0155037-BC72-4CDD-88FD-EA3FE61AC7A5}"/>
            </a:ext>
          </a:extLst>
        </xdr:cNvPr>
        <xdr:cNvSpPr txBox="1"/>
      </xdr:nvSpPr>
      <xdr:spPr>
        <a:xfrm>
          <a:off x="2322902" y="5550773"/>
          <a:ext cx="3587767" cy="178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11.03.2025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B43A612-60CC-48B0-97D2-9B76EE0840E8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Gebäude'!$C$1">
      <xdr:nvSpPr>
        <xdr:cNvPr id="4" name="Textfeld 3">
          <a:extLst>
            <a:ext uri="{FF2B5EF4-FFF2-40B4-BE49-F238E27FC236}">
              <a16:creationId xmlns:a16="http://schemas.microsoft.com/office/drawing/2014/main" id="{C1256E87-D63A-472C-822D-FB7A18B58A25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Gebäude'!$C$2">
      <xdr:nvSpPr>
        <xdr:cNvPr id="5" name="Textfeld 4">
          <a:extLst>
            <a:ext uri="{FF2B5EF4-FFF2-40B4-BE49-F238E27FC236}">
              <a16:creationId xmlns:a16="http://schemas.microsoft.com/office/drawing/2014/main" id="{EEF1FC5A-FC43-4D16-88B4-94EC555ADFBF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Gebäude des Klimaschutzgesetzes (KSG) *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3674D614-9B67-4958-9EE6-42B1CA1EB8F1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9254498B-DA2A-4989-953F-73B83D639917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10C9AE02-28B1-4C6E-A15D-9C30C55E9D82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98659592-A435-45A0-9057-0091F3EB293B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3567EA28-5ACB-4675-8082-B80F2593293B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72C7D633-4CAA-46FD-86CF-A80742400FDB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F869B98B-AFF6-49D2-913F-AD53EDD3DDF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F49436A3-8F39-4427-B0F5-71D906B3333A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EF596EE0-4DE7-4310-A685-067A70F69DC1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2ADC38B8-3C30-4C61-96E2-15381370B8C6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8CD6DEDF-3A24-4864-9A5E-847E1CB2E03C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9C66EE90-064D-4032-A67E-0BA1FA364B98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8"/>
    <xdr:ext cx="3985229" cy="238346"/>
    <xdr:sp macro="" textlink="'Daten Sektor Gebäude'!C4">
      <xdr:nvSpPr>
        <xdr:cNvPr id="18" name="Textfeld 17">
          <a:extLst>
            <a:ext uri="{FF2B5EF4-FFF2-40B4-BE49-F238E27FC236}">
              <a16:creationId xmlns:a16="http://schemas.microsoft.com/office/drawing/2014/main" id="{0F632CBA-BD95-4707-8D9B-D332A7348F63}"/>
            </a:ext>
          </a:extLst>
        </xdr:cNvPr>
        <xdr:cNvSpPr txBox="1"/>
      </xdr:nvSpPr>
      <xdr:spPr>
        <a:xfrm>
          <a:off x="103194" y="5564578"/>
          <a:ext cx="3985229" cy="2383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CFC51D3B-0996-4CC2-8E54-C04909CAB11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09A777B4-067B-41F0-A435-C0386F6E8231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absoluteAnchor>
    <xdr:pos x="101727" y="5738959"/>
    <xdr:ext cx="3985229" cy="238346"/>
    <xdr:sp macro="" textlink="'Daten Sektor Gebäude'!C5">
      <xdr:nvSpPr>
        <xdr:cNvPr id="21" name="Textfeld 20">
          <a:extLst>
            <a:ext uri="{FF2B5EF4-FFF2-40B4-BE49-F238E27FC236}">
              <a16:creationId xmlns:a16="http://schemas.microsoft.com/office/drawing/2014/main" id="{B8186A8F-70C2-419F-9CD0-A07943BF374F}"/>
            </a:ext>
          </a:extLst>
        </xdr:cNvPr>
        <xdr:cNvSpPr txBox="1"/>
      </xdr:nvSpPr>
      <xdr:spPr>
        <a:xfrm>
          <a:off x="101727" y="5738959"/>
          <a:ext cx="3985229" cy="2383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EAC99F6C-F805-41F6-800E-3EFCD32A48FE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marL="0" indent="0" algn="l"/>
            <a:t>*** EU-ETS-Anteile an CRF Kategorien basierend auf Auswertung für Bericht nach Art. 21 Emissionshandelsrichtlinie, jeweils jahresspezifisch angepasste Methodik</a:t>
          </a:fld>
          <a:endParaRPr lang="de-DE" sz="600" b="0" i="0" u="none" strike="noStrike">
            <a:solidFill>
              <a:srgbClr val="080808"/>
            </a:solidFill>
            <a:latin typeface="+mn-lt"/>
            <a:ea typeface="Cambria"/>
            <a:cs typeface="Meta Offc"/>
          </a:endParaRPr>
        </a:p>
      </xdr:txBody>
    </xdr:sp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46</xdr:row>
      <xdr:rowOff>0</xdr:rowOff>
    </xdr:from>
    <xdr:to>
      <xdr:col>38</xdr:col>
      <xdr:colOff>0</xdr:colOff>
      <xdr:row>46</xdr:row>
      <xdr:rowOff>9527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369298" y="11130643"/>
          <a:ext cx="18993666" cy="952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38</xdr:col>
      <xdr:colOff>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367393" y="352425"/>
          <a:ext cx="1827439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17</xdr:row>
      <xdr:rowOff>0</xdr:rowOff>
    </xdr:from>
    <xdr:to>
      <xdr:col>44</xdr:col>
      <xdr:colOff>0</xdr:colOff>
      <xdr:row>17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CFAED5C8-56A5-48A3-BA5C-0C225B578289}"/>
            </a:ext>
          </a:extLst>
        </xdr:cNvPr>
        <xdr:cNvCxnSpPr/>
      </xdr:nvCxnSpPr>
      <xdr:spPr>
        <a:xfrm flipV="1">
          <a:off x="363855" y="6429375"/>
          <a:ext cx="326783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E9EB42B9-08C4-438A-A8FC-50182528DF0C}"/>
            </a:ext>
          </a:extLst>
        </xdr:cNvPr>
        <xdr:cNvCxnSpPr/>
      </xdr:nvCxnSpPr>
      <xdr:spPr>
        <a:xfrm>
          <a:off x="361950" y="2124075"/>
          <a:ext cx="32680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2322902" y="5550773"/>
    <xdr:ext cx="3587767" cy="149574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79F13624-5812-47A5-B23F-10E334EEF4FE}"/>
            </a:ext>
          </a:extLst>
        </xdr:cNvPr>
        <xdr:cNvSpPr txBox="1"/>
      </xdr:nvSpPr>
      <xdr:spPr>
        <a:xfrm>
          <a:off x="2322902" y="5550773"/>
          <a:ext cx="3587767" cy="14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11.03.2025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49CA8DD-B738-4075-B604-77B1F9CC9B1A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Verkehr'!$C$1">
      <xdr:nvSpPr>
        <xdr:cNvPr id="4" name="Textfeld 3">
          <a:extLst>
            <a:ext uri="{FF2B5EF4-FFF2-40B4-BE49-F238E27FC236}">
              <a16:creationId xmlns:a16="http://schemas.microsoft.com/office/drawing/2014/main" id="{8AA91496-4C33-4708-92B3-3AF6DE81DA20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Verkehr'!$C$2">
      <xdr:nvSpPr>
        <xdr:cNvPr id="5" name="Textfeld 4">
          <a:extLst>
            <a:ext uri="{FF2B5EF4-FFF2-40B4-BE49-F238E27FC236}">
              <a16:creationId xmlns:a16="http://schemas.microsoft.com/office/drawing/2014/main" id="{B6711CF0-E2A6-4031-8CF5-7B658D90D8D8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Verkehr des Klimaschutzgesetzes (KSG) *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CD07B0AC-AF12-454E-9402-EBDE7A5FA0AE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2CD9E50E-E4EA-42CB-AD1A-D4076C6F7291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2B7227B0-3B9D-4C9D-9C83-242775C6767A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5A9CB53F-4D62-48E8-825E-AFD967033616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7EF7F5C5-21DD-40A5-B942-302229FADE32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D8899CFA-2DC9-4D49-A7AB-104A0C7FA66B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CCA4FF1B-FE74-4220-B9C3-02BA6A2B096B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BC2E6F8E-4C60-4E8E-9790-BF7B5753D90B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465401B3-2D05-4DCF-8AE3-E5717F65D8E6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BB58FACE-D53C-42BA-A2C0-A3B95B586E17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2DD86CBD-050B-4B2C-AB7C-29B640718E97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E588683D-FD23-4913-A4FA-504575DCC579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8"/>
    <xdr:ext cx="3802056" cy="318942"/>
    <xdr:sp macro="" textlink="'Daten Sektor Verkehr'!C4">
      <xdr:nvSpPr>
        <xdr:cNvPr id="18" name="Textfeld 17">
          <a:extLst>
            <a:ext uri="{FF2B5EF4-FFF2-40B4-BE49-F238E27FC236}">
              <a16:creationId xmlns:a16="http://schemas.microsoft.com/office/drawing/2014/main" id="{93E3E938-85F1-4F7D-B36F-765DC7680F41}"/>
            </a:ext>
          </a:extLst>
        </xdr:cNvPr>
        <xdr:cNvSpPr txBox="1"/>
      </xdr:nvSpPr>
      <xdr:spPr>
        <a:xfrm>
          <a:off x="103194" y="5564578"/>
          <a:ext cx="3802056" cy="318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3061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846DDB25-D496-44A7-B219-32A97162C8C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FB7FA7FF-68B5-43C8-A534-86657F55ECAC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21</xdr:row>
      <xdr:rowOff>0</xdr:rowOff>
    </xdr:from>
    <xdr:to>
      <xdr:col>44</xdr:col>
      <xdr:colOff>0</xdr:colOff>
      <xdr:row>21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2B344617-EFE5-4A75-9E42-514C5C4AFBD7}"/>
            </a:ext>
          </a:extLst>
        </xdr:cNvPr>
        <xdr:cNvCxnSpPr/>
      </xdr:nvCxnSpPr>
      <xdr:spPr>
        <a:xfrm flipV="1">
          <a:off x="363855" y="4524375"/>
          <a:ext cx="326783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84C9F1F7-D36F-42FF-A4E8-D5C419B416C3}"/>
            </a:ext>
          </a:extLst>
        </xdr:cNvPr>
        <xdr:cNvCxnSpPr/>
      </xdr:nvCxnSpPr>
      <xdr:spPr>
        <a:xfrm>
          <a:off x="361950" y="2124075"/>
          <a:ext cx="32680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56901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0E1556A0-6DD2-45A0-827B-CCC832750028}"/>
            </a:ext>
          </a:extLst>
        </xdr:cNvPr>
        <xdr:cNvSpPr txBox="1"/>
      </xdr:nvSpPr>
      <xdr:spPr>
        <a:xfrm>
          <a:off x="2322902" y="5550772"/>
          <a:ext cx="3587767" cy="156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11.03.2025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9085D5B-395F-471F-9A2A-184EFE75DCEC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Landwirtschaft'!$C$1">
      <xdr:nvSpPr>
        <xdr:cNvPr id="4" name="Textfeld 3">
          <a:extLst>
            <a:ext uri="{FF2B5EF4-FFF2-40B4-BE49-F238E27FC236}">
              <a16:creationId xmlns:a16="http://schemas.microsoft.com/office/drawing/2014/main" id="{8492CBD2-7AB1-4970-8531-C39F51EE2B3C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Landwirtschaft'!$C$2">
      <xdr:nvSpPr>
        <xdr:cNvPr id="5" name="Textfeld 4">
          <a:extLst>
            <a:ext uri="{FF2B5EF4-FFF2-40B4-BE49-F238E27FC236}">
              <a16:creationId xmlns:a16="http://schemas.microsoft.com/office/drawing/2014/main" id="{1B39E0EE-7F45-4425-AB99-87A0B70961B8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Landwirtschaft des Klimaschutzgesetzes (KSG) *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EFAF9336-0AC5-404A-9C60-8C649E6C77E8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D8DF0EF5-2072-4589-8E74-CAEDF90C9D80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AAB6E065-F27C-4165-89ED-AA36BB46261B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416C2795-D231-4457-9BE4-248DA9ACBE9C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24653895-4E28-4108-B6A1-142A2D9C560C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9128C119-1065-4147-9128-81ABAD35629D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8746BDAE-7FD0-4231-9DAE-92ED8044F9B8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DFBEA6B-D01B-416F-A124-7CFF5D51253B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7418E84D-101E-4113-BAE1-E82211EB1349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13C7C86C-BE3F-4370-802C-6A92B6F55E2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956CE3F3-B9BA-49ED-8CFE-5DD3531594AD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1CF75D01-7177-46B9-8833-9C8E19C274A5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8"/>
    <xdr:ext cx="4036518" cy="282308"/>
    <xdr:sp macro="" textlink="'Daten Sektor Landwirtschaft'!C4">
      <xdr:nvSpPr>
        <xdr:cNvPr id="18" name="Textfeld 17">
          <a:extLst>
            <a:ext uri="{FF2B5EF4-FFF2-40B4-BE49-F238E27FC236}">
              <a16:creationId xmlns:a16="http://schemas.microsoft.com/office/drawing/2014/main" id="{61E3D524-98CE-4066-A315-774420D85CF5}"/>
            </a:ext>
          </a:extLst>
        </xdr:cNvPr>
        <xdr:cNvSpPr txBox="1"/>
      </xdr:nvSpPr>
      <xdr:spPr>
        <a:xfrm>
          <a:off x="103194" y="5564578"/>
          <a:ext cx="4036518" cy="282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11B14330-B88B-43BF-8318-FC2DC7BB58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F9FEB91E-0FEF-4DAF-94DD-AD7F48ED28BA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17</xdr:row>
      <xdr:rowOff>0</xdr:rowOff>
    </xdr:from>
    <xdr:to>
      <xdr:col>44</xdr:col>
      <xdr:colOff>0</xdr:colOff>
      <xdr:row>17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444CEB69-FF47-4338-ACFA-B76EFCF0D9E7}"/>
            </a:ext>
          </a:extLst>
        </xdr:cNvPr>
        <xdr:cNvCxnSpPr/>
      </xdr:nvCxnSpPr>
      <xdr:spPr>
        <a:xfrm flipV="1">
          <a:off x="360493" y="5188324"/>
          <a:ext cx="20079036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8E751F41-7B62-4095-AFB3-43DBCE7AD2A6}"/>
            </a:ext>
          </a:extLst>
        </xdr:cNvPr>
        <xdr:cNvCxnSpPr/>
      </xdr:nvCxnSpPr>
      <xdr:spPr>
        <a:xfrm>
          <a:off x="361950" y="2124075"/>
          <a:ext cx="32680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2322902" y="5550773"/>
    <xdr:ext cx="3587767" cy="134920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DF1BE6F9-2A14-4205-AD77-616022534A6D}"/>
            </a:ext>
          </a:extLst>
        </xdr:cNvPr>
        <xdr:cNvSpPr txBox="1"/>
      </xdr:nvSpPr>
      <xdr:spPr>
        <a:xfrm>
          <a:off x="2322902" y="5550773"/>
          <a:ext cx="3587767" cy="134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11.03.2025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8D37783-8D4A-4E70-994C-5D9AB8392EF2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Abfallwirtschaft'!$C$1">
      <xdr:nvSpPr>
        <xdr:cNvPr id="4" name="Textfeld 3">
          <a:extLst>
            <a:ext uri="{FF2B5EF4-FFF2-40B4-BE49-F238E27FC236}">
              <a16:creationId xmlns:a16="http://schemas.microsoft.com/office/drawing/2014/main" id="{2A3CC9DC-C548-4D48-9503-62F91117B21C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Abfallwirtschaft'!$C$2">
      <xdr:nvSpPr>
        <xdr:cNvPr id="5" name="Textfeld 4">
          <a:extLst>
            <a:ext uri="{FF2B5EF4-FFF2-40B4-BE49-F238E27FC236}">
              <a16:creationId xmlns:a16="http://schemas.microsoft.com/office/drawing/2014/main" id="{C97A969F-9A6F-4309-AFE3-FC0271947A6F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Abfallwirtschaft und Sonstiges des Klimaschutzgesetzes (KSG) *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AE54937F-CAAF-4DEA-B112-E99BCFCEBA16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8E923946-5205-4E1E-9E87-60FDE0CE53DE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B5B9BB3C-32C6-40DD-AADA-A4CA3B26BBFD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81C5692D-C13E-4807-990A-B747EC516533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8AEB8F3D-A945-4022-8598-19EBA7332598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7D34193A-6CD7-44C1-8132-ADA2A0F1A509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56C0EBFC-3DC0-446C-9A61-2523F4516FB5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672271C4-B204-472B-BD45-C32EFF523281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185E7705-C259-4BC8-971E-A145B265B254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AE3BB351-8F52-4EF0-87CD-057E83E556DD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BF5361B9-B063-4E79-A142-25BA7B1494B7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51503FCE-76DD-4A15-B463-27D82EB0958A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4014537" cy="260327"/>
    <xdr:sp macro="" textlink="'Daten Sektor Abfallwirtschaft'!C4">
      <xdr:nvSpPr>
        <xdr:cNvPr id="18" name="Textfeld 17">
          <a:extLst>
            <a:ext uri="{FF2B5EF4-FFF2-40B4-BE49-F238E27FC236}">
              <a16:creationId xmlns:a16="http://schemas.microsoft.com/office/drawing/2014/main" id="{3FF1470C-376C-43D4-99CD-BAEB92A54E8E}"/>
            </a:ext>
          </a:extLst>
        </xdr:cNvPr>
        <xdr:cNvSpPr txBox="1"/>
      </xdr:nvSpPr>
      <xdr:spPr>
        <a:xfrm>
          <a:off x="103194" y="5564577"/>
          <a:ext cx="4014537" cy="260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963E04DE-ED7A-4339-B5D0-9068AFB352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2BC556CD-65B7-454C-AB85-8BD264C15555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161925</xdr:rowOff>
    </xdr:from>
    <xdr:to>
      <xdr:col>14</xdr:col>
      <xdr:colOff>0</xdr:colOff>
      <xdr:row>1</xdr:row>
      <xdr:rowOff>161925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9749E059-7BED-4A91-BACE-5093513DF995}"/>
            </a:ext>
          </a:extLst>
        </xdr:cNvPr>
        <xdr:cNvCxnSpPr/>
      </xdr:nvCxnSpPr>
      <xdr:spPr>
        <a:xfrm>
          <a:off x="361950" y="0"/>
          <a:ext cx="78676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351155</xdr:colOff>
      <xdr:row>18</xdr:row>
      <xdr:rowOff>10585</xdr:rowOff>
    </xdr:from>
    <xdr:to>
      <xdr:col>41</xdr:col>
      <xdr:colOff>3025</xdr:colOff>
      <xdr:row>18</xdr:row>
      <xdr:rowOff>10585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B80DFE64-DD10-4E0F-8675-1649A2F12CE7}"/>
            </a:ext>
          </a:extLst>
        </xdr:cNvPr>
        <xdr:cNvCxnSpPr/>
      </xdr:nvCxnSpPr>
      <xdr:spPr>
        <a:xfrm>
          <a:off x="351155" y="4434418"/>
          <a:ext cx="1922045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40</xdr:col>
      <xdr:colOff>698500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B51A6854-877B-4B8B-91EC-DAA2A1BED453}"/>
            </a:ext>
          </a:extLst>
        </xdr:cNvPr>
        <xdr:cNvCxnSpPr/>
      </xdr:nvCxnSpPr>
      <xdr:spPr>
        <a:xfrm>
          <a:off x="359833" y="352425"/>
          <a:ext cx="79692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351154</xdr:colOff>
      <xdr:row>42</xdr:row>
      <xdr:rowOff>10585</xdr:rowOff>
    </xdr:from>
    <xdr:to>
      <xdr:col>38</xdr:col>
      <xdr:colOff>3024</xdr:colOff>
      <xdr:row>42</xdr:row>
      <xdr:rowOff>10585</xdr:rowOff>
    </xdr:to>
    <xdr:cxnSp macro="">
      <xdr:nvCxnSpPr>
        <xdr:cNvPr id="4" name="Gerade Verbindung 1">
          <a:extLst>
            <a:ext uri="{FF2B5EF4-FFF2-40B4-BE49-F238E27FC236}">
              <a16:creationId xmlns:a16="http://schemas.microsoft.com/office/drawing/2014/main" id="{E7149209-7368-4721-B4F8-99353A006E08}"/>
            </a:ext>
          </a:extLst>
        </xdr:cNvPr>
        <xdr:cNvCxnSpPr/>
      </xdr:nvCxnSpPr>
      <xdr:spPr>
        <a:xfrm>
          <a:off x="351154" y="9602260"/>
          <a:ext cx="111771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19</xdr:row>
      <xdr:rowOff>161925</xdr:rowOff>
    </xdr:from>
    <xdr:to>
      <xdr:col>38</xdr:col>
      <xdr:colOff>0</xdr:colOff>
      <xdr:row>19</xdr:row>
      <xdr:rowOff>161925</xdr:rowOff>
    </xdr:to>
    <xdr:cxnSp macro="">
      <xdr:nvCxnSpPr>
        <xdr:cNvPr id="5" name="Gerade Verbindung 8">
          <a:extLst>
            <a:ext uri="{FF2B5EF4-FFF2-40B4-BE49-F238E27FC236}">
              <a16:creationId xmlns:a16="http://schemas.microsoft.com/office/drawing/2014/main" id="{F52A1D52-871D-4511-B3D4-B85D47AD7D5C}"/>
            </a:ext>
          </a:extLst>
        </xdr:cNvPr>
        <xdr:cNvCxnSpPr/>
      </xdr:nvCxnSpPr>
      <xdr:spPr>
        <a:xfrm>
          <a:off x="361950" y="352425"/>
          <a:ext cx="97155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54</xdr:row>
      <xdr:rowOff>0</xdr:rowOff>
    </xdr:from>
    <xdr:to>
      <xdr:col>38</xdr:col>
      <xdr:colOff>0</xdr:colOff>
      <xdr:row>54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 flipV="1">
          <a:off x="369298" y="13090071"/>
          <a:ext cx="19592381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38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367393" y="352425"/>
          <a:ext cx="29813250" cy="1496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54</xdr:row>
      <xdr:rowOff>0</xdr:rowOff>
    </xdr:from>
    <xdr:to>
      <xdr:col>38</xdr:col>
      <xdr:colOff>0</xdr:colOff>
      <xdr:row>54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369298" y="13090071"/>
          <a:ext cx="18871202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38</xdr:col>
      <xdr:colOff>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367393" y="352425"/>
          <a:ext cx="1827439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54</xdr:row>
      <xdr:rowOff>2</xdr:rowOff>
    </xdr:from>
    <xdr:to>
      <xdr:col>38</xdr:col>
      <xdr:colOff>0</xdr:colOff>
      <xdr:row>54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369298" y="13090073"/>
          <a:ext cx="1887120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38</xdr:col>
      <xdr:colOff>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367393" y="352425"/>
          <a:ext cx="1887310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54</xdr:row>
      <xdr:rowOff>2</xdr:rowOff>
    </xdr:from>
    <xdr:to>
      <xdr:col>38</xdr:col>
      <xdr:colOff>0</xdr:colOff>
      <xdr:row>54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369298" y="13090073"/>
          <a:ext cx="1888480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38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367393" y="352425"/>
          <a:ext cx="18886714" cy="1496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54</xdr:row>
      <xdr:rowOff>0</xdr:rowOff>
    </xdr:from>
    <xdr:to>
      <xdr:col>38</xdr:col>
      <xdr:colOff>0</xdr:colOff>
      <xdr:row>54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551E2E4B-09DB-405D-B48A-E68515784C0B}"/>
            </a:ext>
          </a:extLst>
        </xdr:cNvPr>
        <xdr:cNvCxnSpPr/>
      </xdr:nvCxnSpPr>
      <xdr:spPr>
        <a:xfrm flipV="1">
          <a:off x="369298" y="13090071"/>
          <a:ext cx="18871202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38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4B775DD4-299B-4206-A604-CF167BA25172}"/>
            </a:ext>
          </a:extLst>
        </xdr:cNvPr>
        <xdr:cNvCxnSpPr/>
      </xdr:nvCxnSpPr>
      <xdr:spPr>
        <a:xfrm>
          <a:off x="367393" y="352425"/>
          <a:ext cx="18274393" cy="1496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11909</xdr:rowOff>
    </xdr:from>
    <xdr:to>
      <xdr:col>45</xdr:col>
      <xdr:colOff>11906</xdr:colOff>
      <xdr:row>17</xdr:row>
      <xdr:rowOff>11909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FD863990-A3CB-49C8-817E-166D80BDD18F}"/>
            </a:ext>
          </a:extLst>
        </xdr:cNvPr>
        <xdr:cNvCxnSpPr/>
      </xdr:nvCxnSpPr>
      <xdr:spPr>
        <a:xfrm>
          <a:off x="357188" y="4179097"/>
          <a:ext cx="2166937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UBA_DzU_2017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55"/>
  <sheetViews>
    <sheetView showGridLines="0" zoomScale="90" zoomScaleNormal="90" zoomScalePageLayoutView="150" workbookViewId="0">
      <pane xSplit="3" ySplit="8" topLeftCell="X11" activePane="bottomRight" state="frozen"/>
      <selection activeCell="B3" sqref="B3"/>
      <selection pane="topRight" activeCell="B3" sqref="B3"/>
      <selection pane="bottomLeft" activeCell="B3" sqref="B3"/>
      <selection pane="bottomRight" activeCell="AQ38" sqref="AQ38"/>
    </sheetView>
  </sheetViews>
  <sheetFormatPr baseColWidth="10" defaultColWidth="11.42578125" defaultRowHeight="15" outlineLevelCol="1"/>
  <cols>
    <col min="1" max="1" width="5.42578125" style="2" customWidth="1"/>
    <col min="2" max="2" width="62.5703125" style="2" customWidth="1"/>
    <col min="3" max="3" width="16.7109375" style="17" hidden="1" customWidth="1"/>
    <col min="4" max="4" width="10.85546875" style="2" customWidth="1"/>
    <col min="5" max="8" width="10.85546875" style="2" hidden="1" customWidth="1" outlineLevel="1"/>
    <col min="9" max="9" width="10.85546875" style="2" customWidth="1" collapsed="1"/>
    <col min="10" max="13" width="10.85546875" style="2" hidden="1" customWidth="1" outlineLevel="1"/>
    <col min="14" max="14" width="10.85546875" style="2" customWidth="1" collapsed="1"/>
    <col min="15" max="18" width="10.85546875" style="2" hidden="1" customWidth="1" outlineLevel="1"/>
    <col min="19" max="19" width="10.85546875" style="2" customWidth="1" collapsed="1"/>
    <col min="20" max="23" width="10.85546875" style="2" hidden="1" customWidth="1" outlineLevel="1"/>
    <col min="24" max="24" width="10.85546875" style="2" customWidth="1" collapsed="1"/>
    <col min="25" max="28" width="10.85546875" style="2" customWidth="1" outlineLevel="1"/>
    <col min="29" max="29" width="10.85546875" style="2" customWidth="1"/>
    <col min="30" max="33" width="10.85546875" style="2" customWidth="1" outlineLevel="1"/>
    <col min="34" max="35" width="10.85546875" style="88" customWidth="1"/>
    <col min="36" max="38" width="10.85546875" style="150" customWidth="1"/>
    <col min="39" max="16384" width="11.42578125" style="2"/>
  </cols>
  <sheetData>
    <row r="2" spans="2:38" ht="14.25" customHeight="1">
      <c r="B2" s="1"/>
      <c r="C2" s="11"/>
    </row>
    <row r="3" spans="2:38" ht="22.5" customHeight="1">
      <c r="B3" s="3" t="s">
        <v>27</v>
      </c>
      <c r="C3" s="12"/>
      <c r="D3" s="24"/>
      <c r="E3" s="2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2:38">
      <c r="B4" s="4" t="s">
        <v>79</v>
      </c>
      <c r="C4" s="13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  <c r="AH4" s="8">
        <v>43831</v>
      </c>
      <c r="AI4" s="8">
        <v>44197</v>
      </c>
      <c r="AJ4" s="155">
        <v>44562</v>
      </c>
      <c r="AK4" s="155">
        <v>44927</v>
      </c>
      <c r="AL4" s="155">
        <v>45292</v>
      </c>
    </row>
    <row r="5" spans="2:38" s="10" customFormat="1" ht="18.75" customHeight="1">
      <c r="B5" s="5" t="s">
        <v>21</v>
      </c>
      <c r="C5" s="20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142"/>
      <c r="AI5" s="27"/>
      <c r="AJ5" s="166"/>
      <c r="AK5" s="166"/>
      <c r="AL5" s="166"/>
    </row>
    <row r="6" spans="2:38" s="10" customFormat="1" ht="18.75" customHeight="1">
      <c r="B6" s="25" t="s">
        <v>22</v>
      </c>
      <c r="C6" s="22" t="s">
        <v>3</v>
      </c>
      <c r="D6" s="31">
        <f>THG!D6/THG!$D6-1</f>
        <v>0</v>
      </c>
      <c r="E6" s="31">
        <f>THG!E6/THG!$D6-1</f>
        <v>-3.6593718412652465E-2</v>
      </c>
      <c r="F6" s="31">
        <f>THG!F6/THG!$D6-1</f>
        <v>-7.6112366423314204E-2</v>
      </c>
      <c r="G6" s="31">
        <f>THG!G6/THG!$D6-1</f>
        <v>-8.3423974595040695E-2</v>
      </c>
      <c r="H6" s="31">
        <f>THG!H6/THG!$D6-1</f>
        <v>-9.8012846180336344E-2</v>
      </c>
      <c r="I6" s="31">
        <f>THG!I6/THG!$D6-1</f>
        <v>-0.10356677808768555</v>
      </c>
      <c r="J6" s="31">
        <f>THG!J6/THG!$D6-1</f>
        <v>-8.9724593118696405E-2</v>
      </c>
      <c r="K6" s="31">
        <f>THG!K6/THG!$D6-1</f>
        <v>-0.11830471194701542</v>
      </c>
      <c r="L6" s="31">
        <f>THG!L6/THG!$D6-1</f>
        <v>-0.13831590322312037</v>
      </c>
      <c r="M6" s="31">
        <f>THG!M6/THG!$D6-1</f>
        <v>-0.16546305472841016</v>
      </c>
      <c r="N6" s="31">
        <f>THG!N6/THG!$D6-1</f>
        <v>-0.16771859302148617</v>
      </c>
      <c r="O6" s="31">
        <f>THG!O6/THG!$D6-1</f>
        <v>-0.15615325172480277</v>
      </c>
      <c r="P6" s="31">
        <f>THG!P6/THG!$D6-1</f>
        <v>-0.17345977869692863</v>
      </c>
      <c r="Q6" s="31">
        <f>THG!Q6/THG!$D6-1</f>
        <v>-0.1802013027161643</v>
      </c>
      <c r="R6" s="31">
        <f>THG!R6/THG!$D6-1</f>
        <v>-0.19889183479841366</v>
      </c>
      <c r="S6" s="31">
        <f>THG!S6/THG!$D6-1</f>
        <v>-0.20972027878956279</v>
      </c>
      <c r="T6" s="31">
        <f>THG!T6/THG!$D6-1</f>
        <v>-0.19892241901972696</v>
      </c>
      <c r="U6" s="31">
        <f>THG!U6/THG!$D6-1</f>
        <v>-0.23108592824039542</v>
      </c>
      <c r="V6" s="31">
        <f>THG!V6/THG!$D6-1</f>
        <v>-0.22465836932029515</v>
      </c>
      <c r="W6" s="31">
        <f>THG!W6/THG!$D6-1</f>
        <v>-0.27957244302378936</v>
      </c>
      <c r="X6" s="31">
        <f>THG!X6/THG!$D6-1</f>
        <v>-0.25722468579552171</v>
      </c>
      <c r="Y6" s="31">
        <f>THG!Y6/THG!$D6-1</f>
        <v>-0.27600040925257074</v>
      </c>
      <c r="Z6" s="31">
        <f>THG!Z6/THG!$D6-1</f>
        <v>-0.2678065040490939</v>
      </c>
      <c r="AA6" s="31">
        <f>THG!AA6/THG!$D6-1</f>
        <v>-0.25424152248253107</v>
      </c>
      <c r="AB6" s="31">
        <f>THG!AB6/THG!$D6-1</f>
        <v>-0.2865287561962292</v>
      </c>
      <c r="AC6" s="31">
        <f>THG!AC6/THG!$D6-1</f>
        <v>-0.2799202211291546</v>
      </c>
      <c r="AD6" s="31">
        <f>THG!AD6/THG!$D6-1</f>
        <v>-0.28354428790691322</v>
      </c>
      <c r="AE6" s="31">
        <f>THG!AE6/THG!$D6-1</f>
        <v>-0.29556537137175043</v>
      </c>
      <c r="AF6" s="31">
        <f>THG!AF6/THG!$D6-1</f>
        <v>-0.31901935908791912</v>
      </c>
      <c r="AG6" s="31">
        <f>THG!AG6/THG!$D6-1</f>
        <v>-0.36278365727298167</v>
      </c>
      <c r="AH6" s="31">
        <f>THG!AH6/THG!$D6-1</f>
        <v>-0.41472780282708066</v>
      </c>
      <c r="AI6" s="31">
        <f>THG!AI6/THG!$D6-1</f>
        <v>-0.39202461400087729</v>
      </c>
      <c r="AJ6" s="31">
        <f>THG!AJ6/THG!$D6-1</f>
        <v>-0.40211249999673171</v>
      </c>
      <c r="AK6" s="31">
        <f>THG!AK6/THG!$D6-1</f>
        <v>-0.46341284498963753</v>
      </c>
      <c r="AL6" s="31">
        <f>THG!AL6/THG!$D6-1</f>
        <v>-0.48174701461685787</v>
      </c>
    </row>
    <row r="7" spans="2:38" s="10" customFormat="1" ht="18.75" customHeight="1">
      <c r="B7" s="23" t="s">
        <v>23</v>
      </c>
      <c r="C7" s="20" t="s">
        <v>3</v>
      </c>
      <c r="D7" s="32">
        <f>THG!D7/THG!$D7-1</f>
        <v>0</v>
      </c>
      <c r="E7" s="32">
        <f>THG!E7/THG!$D7-1</f>
        <v>-7.3493984290443848E-2</v>
      </c>
      <c r="F7" s="32">
        <f>THG!F7/THG!$D7-1</f>
        <v>-0.11554431058041947</v>
      </c>
      <c r="G7" s="32">
        <f>THG!G7/THG!$D7-1</f>
        <v>-0.12870747337985533</v>
      </c>
      <c r="H7" s="32">
        <f>THG!H7/THG!$D7-1</f>
        <v>-0.13671091030252014</v>
      </c>
      <c r="I7" s="32">
        <f>THG!I7/THG!$D7-1</f>
        <v>-0.13374791014970377</v>
      </c>
      <c r="J7" s="32">
        <f>THG!J7/THG!$D7-1</f>
        <v>-0.12075965124517518</v>
      </c>
      <c r="K7" s="32">
        <f>THG!K7/THG!$D7-1</f>
        <v>-0.14948753918386981</v>
      </c>
      <c r="L7" s="32">
        <f>THG!L7/THG!$D7-1</f>
        <v>-0.17390294723351107</v>
      </c>
      <c r="M7" s="32">
        <f>THG!M7/THG!$D7-1</f>
        <v>-0.19675381171301831</v>
      </c>
      <c r="N7" s="32">
        <f>THG!N7/THG!$D7-1</f>
        <v>-0.18735222547929697</v>
      </c>
      <c r="O7" s="32">
        <f>THG!O7/THG!$D7-1</f>
        <v>-0.18197415699681729</v>
      </c>
      <c r="P7" s="32">
        <f>THG!P7/THG!$D7-1</f>
        <v>-0.17538249308574561</v>
      </c>
      <c r="Q7" s="32">
        <f>THG!Q7/THG!$D7-1</f>
        <v>-0.17415767598413745</v>
      </c>
      <c r="R7" s="32">
        <f>THG!R7/THG!$D7-1</f>
        <v>-0.20167938096257843</v>
      </c>
      <c r="S7" s="32">
        <f>THG!S7/THG!$D7-1</f>
        <v>-0.21527310553122736</v>
      </c>
      <c r="T7" s="32">
        <f>THG!T7/THG!$D7-1</f>
        <v>-0.21206409922137504</v>
      </c>
      <c r="U7" s="32">
        <f>THG!U7/THG!$D7-1</f>
        <v>-0.24973636896355722</v>
      </c>
      <c r="V7" s="32">
        <f>THG!V7/THG!$D7-1</f>
        <v>-0.24855891763869309</v>
      </c>
      <c r="W7" s="32">
        <f>THG!W7/THG!$D7-1</f>
        <v>-0.29950582832394912</v>
      </c>
      <c r="X7" s="32">
        <f>THG!X7/THG!$D7-1</f>
        <v>-0.27387700960912142</v>
      </c>
      <c r="Y7" s="32">
        <f>THG!Y7/THG!$D7-1</f>
        <v>-0.29718895995417249</v>
      </c>
      <c r="Z7" s="32">
        <f>THG!Z7/THG!$D7-1</f>
        <v>-0.28666996384457832</v>
      </c>
      <c r="AA7" s="32">
        <f>THG!AA7/THG!$D7-1</f>
        <v>-0.27545192153975895</v>
      </c>
      <c r="AB7" s="32">
        <f>THG!AB7/THG!$D7-1</f>
        <v>-0.29860354059903593</v>
      </c>
      <c r="AC7" s="32">
        <f>THG!AC7/THG!$D7-1</f>
        <v>-0.29560689136563689</v>
      </c>
      <c r="AD7" s="32">
        <f>THG!AD7/THG!$D7-1</f>
        <v>-0.29668856948728461</v>
      </c>
      <c r="AE7" s="32">
        <f>THG!AE7/THG!$D7-1</f>
        <v>-0.31216853042408199</v>
      </c>
      <c r="AF7" s="32">
        <f>THG!AF7/THG!$D7-1</f>
        <v>-0.27348845072824579</v>
      </c>
      <c r="AG7" s="32">
        <f>THG!AG7/THG!$D7-1</f>
        <v>-0.32462555280375827</v>
      </c>
      <c r="AH7" s="32">
        <f>THG!AH7/THG!$D7-1</f>
        <v>-0.37159758391216813</v>
      </c>
      <c r="AI7" s="32">
        <f>THG!AI7/THG!$D7-1</f>
        <v>-0.36006036946087328</v>
      </c>
      <c r="AJ7" s="32">
        <f>THG!AJ7/THG!$D7-1</f>
        <v>-0.36015180372612243</v>
      </c>
      <c r="AK7" s="32">
        <f>THG!AK7/THG!$D7-1</f>
        <v>-0.42513274920988686</v>
      </c>
      <c r="AL7" s="32">
        <f>THG!AL7/THG!$D7-1</f>
        <v>-0.45643125950428132</v>
      </c>
    </row>
    <row r="8" spans="2:38" ht="18.75" customHeight="1">
      <c r="B8" s="18"/>
      <c r="C8" s="15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92"/>
      <c r="AI8" s="92"/>
      <c r="AJ8" s="92"/>
      <c r="AK8" s="92"/>
      <c r="AL8" s="92"/>
    </row>
    <row r="9" spans="2:38" s="10" customFormat="1" ht="18.75" customHeight="1">
      <c r="B9" s="5" t="s">
        <v>8</v>
      </c>
      <c r="C9" s="20" t="s">
        <v>3</v>
      </c>
      <c r="D9" s="32">
        <f>THG!D9/THG!$D9-1</f>
        <v>0</v>
      </c>
      <c r="E9" s="32">
        <f>THG!E9/THG!$D9-1</f>
        <v>-3.1230443353863935E-2</v>
      </c>
      <c r="F9" s="32">
        <f>THG!F9/THG!$D9-1</f>
        <v>-8.2349378519223415E-2</v>
      </c>
      <c r="G9" s="32">
        <f>THG!G9/THG!$D9-1</f>
        <v>-0.10288579553271393</v>
      </c>
      <c r="H9" s="32">
        <f>THG!H9/THG!$D9-1</f>
        <v>-0.11533506364729595</v>
      </c>
      <c r="I9" s="32">
        <f>THG!I9/THG!$D9-1</f>
        <v>-0.14288162081040945</v>
      </c>
      <c r="J9" s="32">
        <f>THG!J9/THG!$D9-1</f>
        <v>-0.13037866729102821</v>
      </c>
      <c r="K9" s="32">
        <f>THG!K9/THG!$D9-1</f>
        <v>-0.17642818250182579</v>
      </c>
      <c r="L9" s="32">
        <f>THG!L9/THG!$D9-1</f>
        <v>-0.17653252361780436</v>
      </c>
      <c r="M9" s="32">
        <f>THG!M9/THG!$D9-1</f>
        <v>-0.19964172532001878</v>
      </c>
      <c r="N9" s="32">
        <f>THG!N9/THG!$D9-1</f>
        <v>-0.17677641154675416</v>
      </c>
      <c r="O9" s="32">
        <f>THG!O9/THG!$D9-1</f>
        <v>-0.15571865374456551</v>
      </c>
      <c r="P9" s="32">
        <f>THG!P9/THG!$D9-1</f>
        <v>-0.1554762706568692</v>
      </c>
      <c r="Q9" s="32">
        <f>THG!Q9/THG!$D9-1</f>
        <v>-0.1216871963575954</v>
      </c>
      <c r="R9" s="32">
        <f>THG!R9/THG!$D9-1</f>
        <v>-0.13305616653153529</v>
      </c>
      <c r="S9" s="32">
        <f>THG!S9/THG!$D9-1</f>
        <v>-0.15201240081384615</v>
      </c>
      <c r="T9" s="32">
        <f>THG!T9/THG!$D9-1</f>
        <v>-0.15090453919800839</v>
      </c>
      <c r="U9" s="32">
        <f>THG!U9/THG!$D9-1</f>
        <v>-0.14477952959592333</v>
      </c>
      <c r="V9" s="32">
        <f>THG!V9/THG!$D9-1</f>
        <v>-0.18274002848834503</v>
      </c>
      <c r="W9" s="32">
        <f>THG!W9/THG!$D9-1</f>
        <v>-0.23771039373694069</v>
      </c>
      <c r="X9" s="32">
        <f>THG!X9/THG!$D9-1</f>
        <v>-0.21512449380951149</v>
      </c>
      <c r="Y9" s="32">
        <f>THG!Y9/THG!$D9-1</f>
        <v>-0.22550288514908001</v>
      </c>
      <c r="Z9" s="32">
        <f>THG!Z9/THG!$D9-1</f>
        <v>-0.20098970047189435</v>
      </c>
      <c r="AA9" s="32">
        <f>THG!AA9/THG!$D9-1</f>
        <v>-0.19181806504889676</v>
      </c>
      <c r="AB9" s="32">
        <f>THG!AB9/THG!$D9-1</f>
        <v>-0.23600007544418899</v>
      </c>
      <c r="AC9" s="32">
        <f>THG!AC9/THG!$D9-1</f>
        <v>-0.26002112664237542</v>
      </c>
      <c r="AD9" s="32">
        <f>THG!AD9/THG!$D9-1</f>
        <v>-0.27053708186334002</v>
      </c>
      <c r="AE9" s="32">
        <f>THG!AE9/THG!$D9-1</f>
        <v>-0.31230032408722175</v>
      </c>
      <c r="AF9" s="32">
        <f>THG!AF9/THG!$D9-1</f>
        <v>-0.34526270992058028</v>
      </c>
      <c r="AG9" s="32">
        <f>THG!AG9/THG!$D9-1</f>
        <v>-0.45598536036971715</v>
      </c>
      <c r="AH9" s="32">
        <f>THG!AH9/THG!$D9-1</f>
        <v>-0.53864684518733175</v>
      </c>
      <c r="AI9" s="32">
        <f>THG!AI9/THG!$D9-1</f>
        <v>-0.48096912959267779</v>
      </c>
      <c r="AJ9" s="32">
        <f>THG!AJ9/THG!$D9-1</f>
        <v>-0.45938196060339387</v>
      </c>
      <c r="AK9" s="32">
        <f>THG!AK9/THG!$D9-1</f>
        <v>-0.57330607140018497</v>
      </c>
      <c r="AL9" s="32">
        <f>THG!AL9/THG!$D9-1</f>
        <v>-0.61035232336884804</v>
      </c>
    </row>
    <row r="10" spans="2:38" ht="18.75" customHeight="1">
      <c r="B10" s="18" t="s">
        <v>0</v>
      </c>
      <c r="C10" s="15" t="s">
        <v>3</v>
      </c>
      <c r="D10" s="33">
        <f>THG!D10/THG!$D10-1</f>
        <v>0</v>
      </c>
      <c r="E10" s="33">
        <f>THG!E10/THG!$D10-1</f>
        <v>-3.2113406250950605E-2</v>
      </c>
      <c r="F10" s="33">
        <f>THG!F10/THG!$D10-1</f>
        <v>-8.2437305745082012E-2</v>
      </c>
      <c r="G10" s="33">
        <f>THG!G10/THG!$D10-1</f>
        <v>-0.10816906340565124</v>
      </c>
      <c r="H10" s="33">
        <f>THG!H10/THG!$D10-1</f>
        <v>-0.1139484385388605</v>
      </c>
      <c r="I10" s="33">
        <f>THG!I10/THG!$D10-1</f>
        <v>-0.14125082697082536</v>
      </c>
      <c r="J10" s="33">
        <f>THG!J10/THG!$D10-1</f>
        <v>-0.12534297775797842</v>
      </c>
      <c r="K10" s="33">
        <f>THG!K10/THG!$D10-1</f>
        <v>-0.17424436880063965</v>
      </c>
      <c r="L10" s="33">
        <f>THG!L10/THG!$D10-1</f>
        <v>-0.16753443346791164</v>
      </c>
      <c r="M10" s="33">
        <f>THG!M10/THG!$D10-1</f>
        <v>-0.19559459093246112</v>
      </c>
      <c r="N10" s="33">
        <f>THG!N10/THG!$D10-1</f>
        <v>-0.16537982868857715</v>
      </c>
      <c r="O10" s="33">
        <f>THG!O10/THG!$D10-1</f>
        <v>-0.13620068199579216</v>
      </c>
      <c r="P10" s="33">
        <f>THG!P10/THG!$D10-1</f>
        <v>-0.13289160703242953</v>
      </c>
      <c r="Q10" s="33">
        <f>THG!Q10/THG!$D10-1</f>
        <v>-9.0548030195745866E-2</v>
      </c>
      <c r="R10" s="33">
        <f>THG!R10/THG!$D10-1</f>
        <v>-9.5840858887855318E-2</v>
      </c>
      <c r="S10" s="33">
        <f>THG!S10/THG!$D10-1</f>
        <v>-0.11190741964324236</v>
      </c>
      <c r="T10" s="33">
        <f>THG!T10/THG!$D10-1</f>
        <v>-0.10649115532800013</v>
      </c>
      <c r="U10" s="33">
        <f>THG!U10/THG!$D10-1</f>
        <v>-9.5244334366056393E-2</v>
      </c>
      <c r="V10" s="33">
        <f>THG!V10/THG!$D10-1</f>
        <v>-0.13591664479590038</v>
      </c>
      <c r="W10" s="33">
        <f>THG!W10/THG!$D10-1</f>
        <v>-0.19195661063335989</v>
      </c>
      <c r="X10" s="33">
        <f>THG!X10/THG!$D10-1</f>
        <v>-0.16598519969595382</v>
      </c>
      <c r="Y10" s="33">
        <f>THG!Y10/THG!$D10-1</f>
        <v>-0.17648940113602785</v>
      </c>
      <c r="Z10" s="33">
        <f>THG!Z10/THG!$D10-1</f>
        <v>-0.15087158626617714</v>
      </c>
      <c r="AA10" s="33">
        <f>THG!AA10/THG!$D10-1</f>
        <v>-0.13930762867022795</v>
      </c>
      <c r="AB10" s="33">
        <f>THG!AB10/THG!$D10-1</f>
        <v>-0.18416337651450254</v>
      </c>
      <c r="AC10" s="33">
        <f>THG!AC10/THG!$D10-1</f>
        <v>-0.21031479661084918</v>
      </c>
      <c r="AD10" s="33">
        <f>THG!AD10/THG!$D10-1</f>
        <v>-0.21907153677761659</v>
      </c>
      <c r="AE10" s="33">
        <f>THG!AE10/THG!$D10-1</f>
        <v>-0.26462100170006686</v>
      </c>
      <c r="AF10" s="33">
        <f>THG!AF10/THG!$D10-1</f>
        <v>-0.29745129677838122</v>
      </c>
      <c r="AG10" s="33">
        <f>THG!AG10/THG!$D10-1</f>
        <v>-0.41456756612197798</v>
      </c>
      <c r="AH10" s="92">
        <f>THG!AH10/THG!$D10-1</f>
        <v>-0.50318592298510578</v>
      </c>
      <c r="AI10" s="92">
        <f>THG!AI10/THG!$D10-1</f>
        <v>-0.43960309079067383</v>
      </c>
      <c r="AJ10" s="92">
        <f>THG!AJ10/THG!$D10-1</f>
        <v>-0.41643153803202315</v>
      </c>
      <c r="AK10" s="92">
        <f>THG!AK10/THG!$D10-1</f>
        <v>-0.54054860237450963</v>
      </c>
      <c r="AL10" s="92">
        <f>THG!AL10/THG!$D10-1</f>
        <v>-0.58109804332980253</v>
      </c>
    </row>
    <row r="11" spans="2:38" s="88" customFormat="1" ht="18.75" customHeight="1">
      <c r="B11" s="19" t="s">
        <v>2</v>
      </c>
      <c r="C11" s="14" t="s">
        <v>3</v>
      </c>
      <c r="D11" s="34">
        <f>THG!D11/THG!$D11-1</f>
        <v>0</v>
      </c>
      <c r="E11" s="34">
        <f>THG!E11/THG!$D11-1</f>
        <v>5.1463722651062138E-2</v>
      </c>
      <c r="F11" s="34">
        <f>THG!F11/THG!$D11-1</f>
        <v>4.0061702487319995E-2</v>
      </c>
      <c r="G11" s="34">
        <f>THG!G11/THG!$D11-1</f>
        <v>0.10000630574214475</v>
      </c>
      <c r="H11" s="34">
        <f>THG!H11/THG!$D11-1</f>
        <v>0.11973673909158777</v>
      </c>
      <c r="I11" s="34">
        <f>THG!I11/THG!$D11-1</f>
        <v>0.22194183307400484</v>
      </c>
      <c r="J11" s="34">
        <f>THG!J11/THG!$D11-1</f>
        <v>0.36699836959750076</v>
      </c>
      <c r="K11" s="34">
        <f>THG!K11/THG!$D11-1</f>
        <v>0.30563568131691987</v>
      </c>
      <c r="L11" s="34">
        <f>THG!L11/THG!$D11-1</f>
        <v>0.31576066569725336</v>
      </c>
      <c r="M11" s="34">
        <f>THG!M11/THG!$D11-1</f>
        <v>0.31086695987323232</v>
      </c>
      <c r="N11" s="34">
        <f>THG!N11/THG!$D11-1</f>
        <v>0.29879087249155023</v>
      </c>
      <c r="O11" s="34">
        <f>THG!O11/THG!$D11-1</f>
        <v>0.37015612849232626</v>
      </c>
      <c r="P11" s="34">
        <f>THG!P11/THG!$D11-1</f>
        <v>0.47172208949189631</v>
      </c>
      <c r="Q11" s="34">
        <f>THG!Q11/THG!$D11-1</f>
        <v>0.38346271006302235</v>
      </c>
      <c r="R11" s="34">
        <f>THG!R11/THG!$D11-1</f>
        <v>0.39316897991940403</v>
      </c>
      <c r="S11" s="34">
        <f>THG!S11/THG!$D11-1</f>
        <v>0.36172105486030848</v>
      </c>
      <c r="T11" s="34">
        <f>THG!T11/THG!$D11-1</f>
        <v>0.53624823479750283</v>
      </c>
      <c r="U11" s="34">
        <f>THG!U11/THG!$D11-1</f>
        <v>0.25401331384872172</v>
      </c>
      <c r="V11" s="34">
        <f>THG!V11/THG!$D11-1</f>
        <v>0.31739188918024808</v>
      </c>
      <c r="W11" s="34">
        <f>THG!W11/THG!$D11-1</f>
        <v>0.24258832284498788</v>
      </c>
      <c r="X11" s="34">
        <f>THG!X11/THG!$D11-1</f>
        <v>8.0766380977935537E-2</v>
      </c>
      <c r="Y11" s="34">
        <f>THG!Y11/THG!$D11-1</f>
        <v>0.12816320619453703</v>
      </c>
      <c r="Z11" s="34">
        <f>THG!Z11/THG!$D11-1</f>
        <v>0.13648741785326668</v>
      </c>
      <c r="AA11" s="34">
        <f>THG!AA11/THG!$D11-1</f>
        <v>0.35122061174069885</v>
      </c>
      <c r="AB11" s="34">
        <f>THG!AB11/THG!$D11-1</f>
        <v>9.8675767265111292E-2</v>
      </c>
      <c r="AC11" s="34">
        <f>THG!AC11/THG!$D11-1</f>
        <v>0.13172895319298239</v>
      </c>
      <c r="AD11" s="34">
        <f>THG!AD11/THG!$D11-1</f>
        <v>-3.8065018353691138E-2</v>
      </c>
      <c r="AE11" s="34">
        <f>THG!AE11/THG!$D11-1</f>
        <v>0.15074997190869621</v>
      </c>
      <c r="AF11" s="34">
        <f>THG!AF11/THG!$D11-1</f>
        <v>0.22219230825297442</v>
      </c>
      <c r="AG11" s="34">
        <f>THG!AG11/THG!$D11-1</f>
        <v>9.7808035917339886E-2</v>
      </c>
      <c r="AH11" s="34">
        <f>THG!AH11/THG!$D11-1</f>
        <v>-0.29436510581103403</v>
      </c>
      <c r="AI11" s="34">
        <f>THG!AI11/THG!$D11-1</f>
        <v>-0.23125206022929112</v>
      </c>
      <c r="AJ11" s="34">
        <f>THG!AJ11/THG!$D11-1</f>
        <v>0.22074285731387122</v>
      </c>
      <c r="AK11" s="34">
        <f>THG!AK11/THG!$D11-1</f>
        <v>-0.13953058829847087</v>
      </c>
      <c r="AL11" s="34">
        <f>THG!AL11/THG!$D11-1</f>
        <v>-0.20543458392293856</v>
      </c>
    </row>
    <row r="12" spans="2:38" s="88" customFormat="1" ht="18.75" customHeight="1">
      <c r="B12" s="90" t="s">
        <v>1</v>
      </c>
      <c r="C12" s="89" t="s">
        <v>3</v>
      </c>
      <c r="D12" s="92">
        <f>THG!D12/THG!$D12-1</f>
        <v>0</v>
      </c>
      <c r="E12" s="92">
        <f>THG!E12/THG!$D12-1</f>
        <v>-2.443279792537123E-2</v>
      </c>
      <c r="F12" s="92">
        <f>THG!F12/THG!$D12-1</f>
        <v>-8.4627195353015883E-2</v>
      </c>
      <c r="G12" s="92">
        <f>THG!G12/THG!$D12-1</f>
        <v>-5.4657252427742442E-2</v>
      </c>
      <c r="H12" s="92">
        <f>THG!H12/THG!$D12-1</f>
        <v>-0.13545435099300396</v>
      </c>
      <c r="I12" s="92">
        <f>THG!I12/THG!$D12-1</f>
        <v>-0.16883028480407813</v>
      </c>
      <c r="J12" s="92">
        <f>THG!J12/THG!$D12-1</f>
        <v>-0.19422323537176822</v>
      </c>
      <c r="K12" s="92">
        <f>THG!K12/THG!$D12-1</f>
        <v>-0.21100875004216491</v>
      </c>
      <c r="L12" s="92">
        <f>THG!L12/THG!$D12-1</f>
        <v>-0.28035437440304933</v>
      </c>
      <c r="M12" s="92">
        <f>THG!M12/THG!$D12-1</f>
        <v>-0.25381961298393996</v>
      </c>
      <c r="N12" s="92">
        <f>THG!N12/THG!$D12-1</f>
        <v>-0.30444382371902179</v>
      </c>
      <c r="O12" s="92">
        <f>THG!O12/THG!$D12-1</f>
        <v>-0.36689558586527748</v>
      </c>
      <c r="P12" s="92">
        <f>THG!P12/THG!$D12-1</f>
        <v>-0.40031749195377164</v>
      </c>
      <c r="Q12" s="92">
        <f>THG!Q12/THG!$D12-1</f>
        <v>-0.44996171037259303</v>
      </c>
      <c r="R12" s="92">
        <f>THG!R12/THG!$D12-1</f>
        <v>-0.5233809746585405</v>
      </c>
      <c r="S12" s="92">
        <f>THG!S12/THG!$D12-1</f>
        <v>-0.57126425576345841</v>
      </c>
      <c r="T12" s="92">
        <f>THG!T12/THG!$D12-1</f>
        <v>-0.6182554764750674</v>
      </c>
      <c r="U12" s="92">
        <f>THG!U12/THG!$D12-1</f>
        <v>-0.6565128869206267</v>
      </c>
      <c r="V12" s="92">
        <f>THG!V12/THG!$D12-1</f>
        <v>-0.66964598288602439</v>
      </c>
      <c r="W12" s="92">
        <f>THG!W12/THG!$D12-1</f>
        <v>-0.71327620687661231</v>
      </c>
      <c r="X12" s="92">
        <f>THG!X12/THG!$D12-1</f>
        <v>-0.72018742131217794</v>
      </c>
      <c r="Y12" s="92">
        <f>THG!Y12/THG!$D12-1</f>
        <v>-0.7307874688825603</v>
      </c>
      <c r="Z12" s="92">
        <f>THG!Z12/THG!$D12-1</f>
        <v>-0.71703679826819966</v>
      </c>
      <c r="AA12" s="92">
        <f>THG!AA12/THG!$D12-1</f>
        <v>-0.73740078941229148</v>
      </c>
      <c r="AB12" s="92">
        <f>THG!AB12/THG!$D12-1</f>
        <v>-0.76937081333966217</v>
      </c>
      <c r="AC12" s="92">
        <f>THG!AC12/THG!$D12-1</f>
        <v>-0.77330451403607525</v>
      </c>
      <c r="AD12" s="92">
        <f>THG!AD12/THG!$D12-1</f>
        <v>-0.79750595902468124</v>
      </c>
      <c r="AE12" s="92">
        <f>THG!AE12/THG!$D12-1</f>
        <v>-0.80691077162558644</v>
      </c>
      <c r="AF12" s="92">
        <f>THG!AF12/THG!$D12-1</f>
        <v>-0.84391209318101335</v>
      </c>
      <c r="AG12" s="92">
        <f>THG!AG12/THG!$D12-1</f>
        <v>-0.88956268408235772</v>
      </c>
      <c r="AH12" s="92">
        <f>THG!AH12/THG!$D12-1</f>
        <v>-0.90391678405561826</v>
      </c>
      <c r="AI12" s="92">
        <f>THG!AI12/THG!$D12-1</f>
        <v>-0.90615344551524535</v>
      </c>
      <c r="AJ12" s="92">
        <f>THG!AJ12/THG!$D12-1</f>
        <v>-0.91174240177497223</v>
      </c>
      <c r="AK12" s="92">
        <f>THG!AK12/THG!$D12-1</f>
        <v>-0.91611454786495439</v>
      </c>
      <c r="AL12" s="92">
        <f>THG!AL12/THG!$D12-1</f>
        <v>-0.91695345612793366</v>
      </c>
    </row>
    <row r="13" spans="2:38" s="10" customFormat="1" ht="18.75" customHeight="1">
      <c r="B13" s="9"/>
      <c r="C13" s="20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</row>
    <row r="14" spans="2:38" s="10" customFormat="1" ht="18.75" customHeight="1">
      <c r="B14" s="6" t="s">
        <v>9</v>
      </c>
      <c r="C14" s="22" t="s">
        <v>3</v>
      </c>
      <c r="D14" s="31">
        <f>THG!D14/THG!$D14-1</f>
        <v>0</v>
      </c>
      <c r="E14" s="31">
        <f>THG!E14/THG!$D14-1</f>
        <v>-9.1202150975790319E-2</v>
      </c>
      <c r="F14" s="31">
        <f>THG!F14/THG!$D14-1</f>
        <v>-0.13192541090686516</v>
      </c>
      <c r="G14" s="31">
        <f>THG!G14/THG!$D14-1</f>
        <v>-0.16693150506966359</v>
      </c>
      <c r="H14" s="31">
        <f>THG!H14/THG!$D14-1</f>
        <v>-0.15411950398533703</v>
      </c>
      <c r="I14" s="31">
        <f>THG!I14/THG!$D14-1</f>
        <v>-0.14734369378587808</v>
      </c>
      <c r="J14" s="31">
        <f>THG!J14/THG!$D14-1</f>
        <v>-0.18772698872984417</v>
      </c>
      <c r="K14" s="31">
        <f>THG!K14/THG!$D14-1</f>
        <v>-0.17131014493318608</v>
      </c>
      <c r="L14" s="31">
        <f>THG!L14/THG!$D14-1</f>
        <v>-0.23248725486659372</v>
      </c>
      <c r="M14" s="31">
        <f>THG!M14/THG!$D14-1</f>
        <v>-0.26888877089053931</v>
      </c>
      <c r="N14" s="31">
        <f>THG!N14/THG!$D14-1</f>
        <v>-0.27045156178308438</v>
      </c>
      <c r="O14" s="31">
        <f>THG!O14/THG!$D14-1</f>
        <v>-0.30870129568263116</v>
      </c>
      <c r="P14" s="31">
        <f>THG!P14/THG!$D14-1</f>
        <v>-0.31667576030603117</v>
      </c>
      <c r="Q14" s="31">
        <f>THG!Q14/THG!$D14-1</f>
        <v>-0.31906474668619678</v>
      </c>
      <c r="R14" s="31">
        <f>THG!R14/THG!$D14-1</f>
        <v>-0.31898106625511424</v>
      </c>
      <c r="S14" s="31">
        <f>THG!S14/THG!$D14-1</f>
        <v>-0.32885114779517377</v>
      </c>
      <c r="T14" s="31">
        <f>THG!T14/THG!$D14-1</f>
        <v>-0.31246970774221905</v>
      </c>
      <c r="U14" s="31">
        <f>THG!U14/THG!$D14-1</f>
        <v>-0.28311585371099046</v>
      </c>
      <c r="V14" s="31">
        <f>THG!V14/THG!$D14-1</f>
        <v>-0.29570961892227998</v>
      </c>
      <c r="W14" s="31">
        <f>THG!W14/THG!$D14-1</f>
        <v>-0.38803312551375457</v>
      </c>
      <c r="X14" s="31">
        <f>THG!X14/THG!$D14-1</f>
        <v>-0.33720762942876048</v>
      </c>
      <c r="Y14" s="31">
        <f>THG!Y14/THG!$D14-1</f>
        <v>-0.34391815854980068</v>
      </c>
      <c r="Z14" s="31">
        <f>THG!Z14/THG!$D14-1</f>
        <v>-0.36125657833273495</v>
      </c>
      <c r="AA14" s="31">
        <f>THG!AA14/THG!$D14-1</f>
        <v>-0.36246148492749242</v>
      </c>
      <c r="AB14" s="31">
        <f>THG!AB14/THG!$D14-1</f>
        <v>-0.36518784059972409</v>
      </c>
      <c r="AC14" s="31">
        <f>THG!AC14/THG!$D14-1</f>
        <v>-0.34095527063854414</v>
      </c>
      <c r="AD14" s="31">
        <f>THG!AD14/THG!$D14-1</f>
        <v>-0.32720297984386537</v>
      </c>
      <c r="AE14" s="31">
        <f>THG!AE14/THG!$D14-1</f>
        <v>-0.30651069749670534</v>
      </c>
      <c r="AF14" s="31">
        <f>THG!AF14/THG!$D14-1</f>
        <v>-0.3339430818261071</v>
      </c>
      <c r="AG14" s="31">
        <f>THG!AG14/THG!$D14-1</f>
        <v>-0.35428039478936302</v>
      </c>
      <c r="AH14" s="31">
        <f>THG!AH14/THG!$D14-1</f>
        <v>-0.37855480076258563</v>
      </c>
      <c r="AI14" s="31">
        <f>THG!AI14/THG!$D14-1</f>
        <v>-0.35077063248653761</v>
      </c>
      <c r="AJ14" s="31">
        <f>THG!AJ14/THG!$D14-1</f>
        <v>-0.40812630695188556</v>
      </c>
      <c r="AK14" s="31">
        <f>THG!AK14/THG!$D14-1</f>
        <v>-0.44932646363678985</v>
      </c>
      <c r="AL14" s="31">
        <f>THG!AL14/THG!$D14-1</f>
        <v>-0.44902565878004908</v>
      </c>
    </row>
    <row r="15" spans="2:38" ht="18.75" customHeight="1">
      <c r="B15" s="19" t="s">
        <v>24</v>
      </c>
      <c r="C15" s="14" t="s">
        <v>3</v>
      </c>
      <c r="D15" s="34">
        <f>THG!D15/THG!$D15-1</f>
        <v>0</v>
      </c>
      <c r="E15" s="34">
        <f>THG!E15/THG!$D15-1</f>
        <v>-0.11744513342430951</v>
      </c>
      <c r="F15" s="34">
        <f>THG!F15/THG!$D15-1</f>
        <v>-0.17866010214513861</v>
      </c>
      <c r="G15" s="34">
        <f>THG!G15/THG!$D15-1</f>
        <v>-0.23822130881565762</v>
      </c>
      <c r="H15" s="34">
        <f>THG!H15/THG!$D15-1</f>
        <v>-0.24888449856469952</v>
      </c>
      <c r="I15" s="34">
        <f>THG!I15/THG!$D15-1</f>
        <v>-0.23016887135259523</v>
      </c>
      <c r="J15" s="34">
        <f>THG!J15/THG!$D15-1</f>
        <v>-0.28073430506027075</v>
      </c>
      <c r="K15" s="34">
        <f>THG!K15/THG!$D15-1</f>
        <v>-0.2592243537158605</v>
      </c>
      <c r="L15" s="34">
        <f>THG!L15/THG!$D15-1</f>
        <v>-0.28374933172509065</v>
      </c>
      <c r="M15" s="34">
        <f>THG!M15/THG!$D15-1</f>
        <v>-0.29735363807832083</v>
      </c>
      <c r="N15" s="34">
        <f>THG!N15/THG!$D15-1</f>
        <v>-0.31733081500114346</v>
      </c>
      <c r="O15" s="34">
        <f>THG!O15/THG!$D15-1</f>
        <v>-0.35537392921610123</v>
      </c>
      <c r="P15" s="34">
        <f>THG!P15/THG!$D15-1</f>
        <v>-0.35897875486860142</v>
      </c>
      <c r="Q15" s="34">
        <f>THG!Q15/THG!$D15-1</f>
        <v>-0.37679048682579541</v>
      </c>
      <c r="R15" s="34">
        <f>THG!R15/THG!$D15-1</f>
        <v>-0.38625604840061145</v>
      </c>
      <c r="S15" s="34">
        <f>THG!S15/THG!$D15-1</f>
        <v>-0.38411234441451603</v>
      </c>
      <c r="T15" s="34">
        <f>THG!T15/THG!$D15-1</f>
        <v>-0.36103876768549215</v>
      </c>
      <c r="U15" s="34">
        <f>THG!U15/THG!$D15-1</f>
        <v>-0.33389788108465157</v>
      </c>
      <c r="V15" s="34">
        <f>THG!V15/THG!$D15-1</f>
        <v>-0.3303233900526702</v>
      </c>
      <c r="W15" s="34">
        <f>THG!W15/THG!$D15-1</f>
        <v>-0.42614626895288266</v>
      </c>
      <c r="X15" s="34">
        <f>THG!X15/THG!$D15-1</f>
        <v>-0.3375282085281297</v>
      </c>
      <c r="Y15" s="34">
        <f>THG!Y15/THG!$D15-1</f>
        <v>-0.35540010922942256</v>
      </c>
      <c r="Z15" s="34">
        <f>THG!Z15/THG!$D15-1</f>
        <v>-0.36625175580414726</v>
      </c>
      <c r="AA15" s="34">
        <f>THG!AA15/THG!$D15-1</f>
        <v>-0.36732897078618276</v>
      </c>
      <c r="AB15" s="34">
        <f>THG!AB15/THG!$D15-1</f>
        <v>-0.37298415350831648</v>
      </c>
      <c r="AC15" s="34">
        <f>THG!AC15/THG!$D15-1</f>
        <v>-0.33220984042932766</v>
      </c>
      <c r="AD15" s="34">
        <f>THG!AD15/THG!$D15-1</f>
        <v>-0.3208069142289528</v>
      </c>
      <c r="AE15" s="34">
        <f>THG!AE15/THG!$D15-1</f>
        <v>-0.31085518963586445</v>
      </c>
      <c r="AF15" s="34">
        <f>THG!AF15/THG!$D15-1</f>
        <v>-0.33615075808099248</v>
      </c>
      <c r="AG15" s="34">
        <f>THG!AG15/THG!$D15-1</f>
        <v>-0.35000104604001137</v>
      </c>
      <c r="AH15" s="34">
        <f>THG!AH15/THG!$D15-1</f>
        <v>-0.36434294794939093</v>
      </c>
      <c r="AI15" s="34">
        <f>THG!AI15/THG!$D15-1</f>
        <v>-0.3328336245865211</v>
      </c>
      <c r="AJ15" s="34">
        <f>THG!AJ15/THG!$D15-1</f>
        <v>-0.38982672711832755</v>
      </c>
      <c r="AK15" s="34">
        <f>THG!AK15/THG!$D15-1</f>
        <v>-0.42649221200595433</v>
      </c>
      <c r="AL15" s="34">
        <f>THG!AL15/THG!$D15-1</f>
        <v>-0.42569279507538504</v>
      </c>
    </row>
    <row r="16" spans="2:38" ht="18.75" customHeight="1">
      <c r="B16" s="18" t="s">
        <v>11</v>
      </c>
      <c r="C16" s="15" t="s">
        <v>3</v>
      </c>
      <c r="D16" s="33">
        <f>THG!D16/THG!$D16-1</f>
        <v>0</v>
      </c>
      <c r="E16" s="33">
        <f>THG!E16/THG!$D16-1</f>
        <v>-9.2362957697389003E-2</v>
      </c>
      <c r="F16" s="33">
        <f>THG!F16/THG!$D16-1</f>
        <v>-5.8978846299221344E-2</v>
      </c>
      <c r="G16" s="33">
        <f>THG!G16/THG!$D16-1</f>
        <v>-4.2151404509282231E-2</v>
      </c>
      <c r="H16" s="33">
        <f>THG!H16/THG!$D16-1</f>
        <v>2.5963620815215416E-2</v>
      </c>
      <c r="I16" s="33">
        <f>THG!I16/THG!$D16-1</f>
        <v>4.1026650402032461E-2</v>
      </c>
      <c r="J16" s="33">
        <f>THG!J16/THG!$D16-1</f>
        <v>-1.8807134212728838E-2</v>
      </c>
      <c r="K16" s="33">
        <f>THG!K16/THG!$D16-1</f>
        <v>3.3322857279738383E-3</v>
      </c>
      <c r="L16" s="33">
        <f>THG!L16/THG!$D16-1</f>
        <v>3.3262693568960611E-3</v>
      </c>
      <c r="M16" s="33">
        <f>THG!M16/THG!$D16-1</f>
        <v>8.0104805741971763E-3</v>
      </c>
      <c r="N16" s="33">
        <f>THG!N16/THG!$D16-1</f>
        <v>-1.0908098870504923E-2</v>
      </c>
      <c r="O16" s="33">
        <f>THG!O16/THG!$D16-1</f>
        <v>-0.10505374462286377</v>
      </c>
      <c r="P16" s="33">
        <f>THG!P16/THG!$D16-1</f>
        <v>-0.14347522520926981</v>
      </c>
      <c r="Q16" s="33">
        <f>THG!Q16/THG!$D16-1</f>
        <v>-0.11238729112178569</v>
      </c>
      <c r="R16" s="33">
        <f>THG!R16/THG!$D16-1</f>
        <v>-8.9957734087988239E-2</v>
      </c>
      <c r="S16" s="33">
        <f>THG!S16/THG!$D16-1</f>
        <v>-0.14440921446403809</v>
      </c>
      <c r="T16" s="33">
        <f>THG!T16/THG!$D16-1</f>
        <v>-0.12424711733133154</v>
      </c>
      <c r="U16" s="33">
        <f>THG!U16/THG!$D16-1</f>
        <v>-6.8392899465797408E-2</v>
      </c>
      <c r="V16" s="33">
        <f>THG!V16/THG!$D16-1</f>
        <v>-0.11209873710787077</v>
      </c>
      <c r="W16" s="33">
        <f>THG!W16/THG!$D16-1</f>
        <v>-0.21343571333145506</v>
      </c>
      <c r="X16" s="33">
        <f>THG!X16/THG!$D16-1</f>
        <v>-0.19322855748141665</v>
      </c>
      <c r="Y16" s="33">
        <f>THG!Y16/THG!$D16-1</f>
        <v>-0.14213650013973023</v>
      </c>
      <c r="Z16" s="33">
        <f>THG!Z16/THG!$D16-1</f>
        <v>-0.16395707599633624</v>
      </c>
      <c r="AA16" s="33">
        <f>THG!AA16/THG!$D16-1</f>
        <v>-0.18913933090310886</v>
      </c>
      <c r="AB16" s="33">
        <f>THG!AB16/THG!$D16-1</f>
        <v>-0.16513183303654988</v>
      </c>
      <c r="AC16" s="33">
        <f>THG!AC16/THG!$D16-1</f>
        <v>-0.1828499126976757</v>
      </c>
      <c r="AD16" s="33">
        <f>THG!AD16/THG!$D16-1</f>
        <v>-0.18255452987865484</v>
      </c>
      <c r="AE16" s="33">
        <f>THG!AE16/THG!$D16-1</f>
        <v>-0.15257065582135165</v>
      </c>
      <c r="AF16" s="33">
        <f>THG!AF16/THG!$D16-1</f>
        <v>-0.15793022824497527</v>
      </c>
      <c r="AG16" s="33">
        <f>THG!AG16/THG!$D16-1</f>
        <v>-0.16805846503669142</v>
      </c>
      <c r="AH16" s="92">
        <f>THG!AH16/THG!$D16-1</f>
        <v>-0.1836838191048169</v>
      </c>
      <c r="AI16" s="92">
        <f>THG!AI16/THG!$D16-1</f>
        <v>-0.14996384533457052</v>
      </c>
      <c r="AJ16" s="92">
        <f>THG!AJ16/THG!$D16-1</f>
        <v>-0.20385414454673578</v>
      </c>
      <c r="AK16" s="92">
        <f>THG!AK16/THG!$D16-1</f>
        <v>-0.32070615285887183</v>
      </c>
      <c r="AL16" s="92">
        <f>THG!AL16/THG!$D16-1</f>
        <v>-0.36775573518458959</v>
      </c>
    </row>
    <row r="17" spans="2:38" ht="18.75" customHeight="1">
      <c r="B17" s="19" t="s">
        <v>12</v>
      </c>
      <c r="C17" s="14" t="s">
        <v>3</v>
      </c>
      <c r="D17" s="34">
        <f>THG!D17/THG!$D17-1</f>
        <v>0</v>
      </c>
      <c r="E17" s="34">
        <f>THG!E17/THG!$D17-1</f>
        <v>-2.229138540720399E-2</v>
      </c>
      <c r="F17" s="34">
        <f>THG!F17/THG!$D17-1</f>
        <v>4.7826470734670945E-2</v>
      </c>
      <c r="G17" s="34">
        <f>THG!G17/THG!$D17-1</f>
        <v>-1.9101540008528151E-2</v>
      </c>
      <c r="H17" s="34">
        <f>THG!H17/THG!$D17-1</f>
        <v>5.9208286986484282E-2</v>
      </c>
      <c r="I17" s="34">
        <f>THG!I17/THG!$D17-1</f>
        <v>5.5696977223216759E-2</v>
      </c>
      <c r="J17" s="34">
        <f>THG!J17/THG!$D17-1</f>
        <v>5.2392203437076068E-2</v>
      </c>
      <c r="K17" s="34">
        <f>THG!K17/THG!$D17-1</f>
        <v>-1.8135261110685863E-2</v>
      </c>
      <c r="L17" s="34">
        <f>THG!L17/THG!$D17-1</f>
        <v>-0.36613601948433094</v>
      </c>
      <c r="M17" s="34">
        <f>THG!M17/THG!$D17-1</f>
        <v>-0.48974422101525161</v>
      </c>
      <c r="N17" s="34">
        <f>THG!N17/THG!$D17-1</f>
        <v>-0.5273277468804124</v>
      </c>
      <c r="O17" s="34">
        <f>THG!O17/THG!$D17-1</f>
        <v>-0.49598772254370616</v>
      </c>
      <c r="P17" s="34">
        <f>THG!P17/THG!$D17-1</f>
        <v>-0.45929676170609102</v>
      </c>
      <c r="Q17" s="34">
        <f>THG!Q17/THG!$D17-1</f>
        <v>-0.47239136041561114</v>
      </c>
      <c r="R17" s="34">
        <f>THG!R17/THG!$D17-1</f>
        <v>-0.44800633167746851</v>
      </c>
      <c r="S17" s="34">
        <f>THG!S17/THG!$D17-1</f>
        <v>-0.46218564613051116</v>
      </c>
      <c r="T17" s="34">
        <f>THG!T17/THG!$D17-1</f>
        <v>-0.49158314459001917</v>
      </c>
      <c r="U17" s="34">
        <f>THG!U17/THG!$D17-1</f>
        <v>-0.41823652975503844</v>
      </c>
      <c r="V17" s="34">
        <f>THG!V17/THG!$D17-1</f>
        <v>-0.45933165481242089</v>
      </c>
      <c r="W17" s="34">
        <f>THG!W17/THG!$D17-1</f>
        <v>-0.46906268670066742</v>
      </c>
      <c r="X17" s="34">
        <f>THG!X17/THG!$D17-1</f>
        <v>-0.67894239135243706</v>
      </c>
      <c r="Y17" s="34">
        <f>THG!Y17/THG!$D17-1</f>
        <v>-0.69858547621325773</v>
      </c>
      <c r="Z17" s="34">
        <f>THG!Z17/THG!$D17-1</f>
        <v>-0.70290613304715643</v>
      </c>
      <c r="AA17" s="34">
        <f>THG!AA17/THG!$D17-1</f>
        <v>-0.70222494541581038</v>
      </c>
      <c r="AB17" s="34">
        <f>THG!AB17/THG!$D17-1</f>
        <v>-0.76558698752904264</v>
      </c>
      <c r="AC17" s="34">
        <f>THG!AC17/THG!$D17-1</f>
        <v>-0.78594429740338601</v>
      </c>
      <c r="AD17" s="34">
        <f>THG!AD17/THG!$D17-1</f>
        <v>-0.78496727900464702</v>
      </c>
      <c r="AE17" s="34">
        <f>THG!AE17/THG!$D17-1</f>
        <v>-0.78577972262216</v>
      </c>
      <c r="AF17" s="34">
        <f>THG!AF17/THG!$D17-1</f>
        <v>-0.79106294908473451</v>
      </c>
      <c r="AG17" s="34">
        <f>THG!AG17/THG!$D17-1</f>
        <v>-0.79788636460227713</v>
      </c>
      <c r="AH17" s="34">
        <f>THG!AH17/THG!$D17-1</f>
        <v>-0.79727950594076469</v>
      </c>
      <c r="AI17" s="34">
        <f>THG!AI17/THG!$D17-1</f>
        <v>-0.80165535721121983</v>
      </c>
      <c r="AJ17" s="34">
        <f>THG!AJ17/THG!$D17-1</f>
        <v>-0.83887028293882226</v>
      </c>
      <c r="AK17" s="34">
        <f>THG!AK17/THG!$D17-1</f>
        <v>-0.85255367599080611</v>
      </c>
      <c r="AL17" s="34">
        <f>THG!AL17/THG!$D17-1</f>
        <v>-0.82459327608922772</v>
      </c>
    </row>
    <row r="18" spans="2:38" ht="18.75" customHeight="1">
      <c r="B18" s="18" t="s">
        <v>13</v>
      </c>
      <c r="C18" s="15" t="s">
        <v>3</v>
      </c>
      <c r="D18" s="33">
        <f>THG!D18/THG!$D18-1</f>
        <v>0</v>
      </c>
      <c r="E18" s="33">
        <f>THG!E18/THG!$D18-1</f>
        <v>-3.5532297215786102E-2</v>
      </c>
      <c r="F18" s="33">
        <f>THG!F18/THG!$D18-1</f>
        <v>-0.16647711898159134</v>
      </c>
      <c r="G18" s="33">
        <f>THG!G18/THG!$D18-1</f>
        <v>-0.1553895086551772</v>
      </c>
      <c r="H18" s="33">
        <f>THG!H18/THG!$D18-1</f>
        <v>-0.11488208026216384</v>
      </c>
      <c r="I18" s="33">
        <f>THG!I18/THG!$D18-1</f>
        <v>-0.18882469163905069</v>
      </c>
      <c r="J18" s="33">
        <f>THG!J18/THG!$D18-1</f>
        <v>-0.21759236334424392</v>
      </c>
      <c r="K18" s="33">
        <f>THG!K18/THG!$D18-1</f>
        <v>-0.1595090773068969</v>
      </c>
      <c r="L18" s="33">
        <f>THG!L18/THG!$D18-1</f>
        <v>-0.21929061512129422</v>
      </c>
      <c r="M18" s="33">
        <f>THG!M18/THG!$D18-1</f>
        <v>-0.30476759431124023</v>
      </c>
      <c r="N18" s="33">
        <f>THG!N18/THG!$D18-1</f>
        <v>-0.13323045786442911</v>
      </c>
      <c r="O18" s="33">
        <f>THG!O18/THG!$D18-1</f>
        <v>-0.23523424725061981</v>
      </c>
      <c r="P18" s="33">
        <f>THG!P18/THG!$D18-1</f>
        <v>-0.29066113547594419</v>
      </c>
      <c r="Q18" s="33">
        <f>THG!Q18/THG!$D18-1</f>
        <v>-0.20808899805006764</v>
      </c>
      <c r="R18" s="33">
        <f>THG!R18/THG!$D18-1</f>
        <v>-0.20415628094711802</v>
      </c>
      <c r="S18" s="33">
        <f>THG!S18/THG!$D18-1</f>
        <v>-0.25484629206651777</v>
      </c>
      <c r="T18" s="33">
        <f>THG!T18/THG!$D18-1</f>
        <v>-0.2433858018950974</v>
      </c>
      <c r="U18" s="33">
        <f>THG!U18/THG!$D18-1</f>
        <v>-0.27954686849375776</v>
      </c>
      <c r="V18" s="33">
        <f>THG!V18/THG!$D18-1</f>
        <v>-0.33639269435638086</v>
      </c>
      <c r="W18" s="33">
        <f>THG!W18/THG!$D18-1</f>
        <v>-0.52913292898557329</v>
      </c>
      <c r="X18" s="33">
        <f>THG!X18/THG!$D18-1</f>
        <v>-0.40283005119226145</v>
      </c>
      <c r="Y18" s="33">
        <f>THG!Y18/THG!$D18-1</f>
        <v>-0.38222041707315324</v>
      </c>
      <c r="Z18" s="33">
        <f>THG!Z18/THG!$D18-1</f>
        <v>-0.46671451097209526</v>
      </c>
      <c r="AA18" s="33">
        <f>THG!AA18/THG!$D18-1</f>
        <v>-0.44893777797364065</v>
      </c>
      <c r="AB18" s="33">
        <f>THG!AB18/THG!$D18-1</f>
        <v>-0.38658448054849004</v>
      </c>
      <c r="AC18" s="33">
        <f>THG!AC18/THG!$D18-1</f>
        <v>-0.38992476729951209</v>
      </c>
      <c r="AD18" s="33">
        <f>THG!AD18/THG!$D18-1</f>
        <v>-0.33392674244434617</v>
      </c>
      <c r="AE18" s="33">
        <f>THG!AE18/THG!$D18-1</f>
        <v>-0.21785821056771248</v>
      </c>
      <c r="AF18" s="33">
        <f>THG!AF18/THG!$D18-1</f>
        <v>-0.28056586515620607</v>
      </c>
      <c r="AG18" s="33">
        <f>THG!AG18/THG!$D18-1</f>
        <v>-0.34827868505261683</v>
      </c>
      <c r="AH18" s="92">
        <f>THG!AH18/THG!$D18-1</f>
        <v>-0.42758842060174329</v>
      </c>
      <c r="AI18" s="92">
        <f>THG!AI18/THG!$D18-1</f>
        <v>-0.36550083818912726</v>
      </c>
      <c r="AJ18" s="92">
        <f>THG!AJ18/THG!$D18-1</f>
        <v>-0.43889499425313949</v>
      </c>
      <c r="AK18" s="92">
        <f>THG!AK18/THG!$D18-1</f>
        <v>-0.45957012914636164</v>
      </c>
      <c r="AL18" s="92">
        <f>THG!AL18/THG!$D18-1</f>
        <v>-0.44059625171598438</v>
      </c>
    </row>
    <row r="19" spans="2:38" ht="18.75" customHeight="1">
      <c r="B19" s="19" t="s">
        <v>80</v>
      </c>
      <c r="C19" s="14" t="s">
        <v>3</v>
      </c>
      <c r="D19" s="34">
        <f>THG!D19/THG!$D19-1</f>
        <v>0</v>
      </c>
      <c r="E19" s="34">
        <f>THG!E19/THG!$D19-1</f>
        <v>2.296609124141602E-2</v>
      </c>
      <c r="F19" s="34">
        <f>THG!F19/THG!$D19-1</f>
        <v>8.4028175217099266E-2</v>
      </c>
      <c r="G19" s="34">
        <f>THG!G19/THG!$D19-1</f>
        <v>0.37092506693152782</v>
      </c>
      <c r="H19" s="34">
        <f>THG!H19/THG!$D19-1</f>
        <v>0.39809293161063763</v>
      </c>
      <c r="I19" s="34">
        <f>THG!I19/THG!$D19-1</f>
        <v>0.42467622546382056</v>
      </c>
      <c r="J19" s="34">
        <f>THG!J19/THG!$D19-1</f>
        <v>0.46975403861855725</v>
      </c>
      <c r="K19" s="34">
        <f>THG!K19/THG!$D19-1</f>
        <v>0.54695581435275487</v>
      </c>
      <c r="L19" s="34">
        <f>THG!L19/THG!$D19-1</f>
        <v>0.59577095737822483</v>
      </c>
      <c r="M19" s="34">
        <f>THG!M19/THG!$D19-1</f>
        <v>0.4562005180514912</v>
      </c>
      <c r="N19" s="34">
        <f>THG!N19/THG!$D19-1</f>
        <v>0.46942040021948928</v>
      </c>
      <c r="O19" s="34">
        <f>THG!O19/THG!$D19-1</f>
        <v>0.51580276501728184</v>
      </c>
      <c r="P19" s="34">
        <f>THG!P19/THG!$D19-1</f>
        <v>0.48559247379986847</v>
      </c>
      <c r="Q19" s="34">
        <f>THG!Q19/THG!$D19-1</f>
        <v>0.48666285146543786</v>
      </c>
      <c r="R19" s="34">
        <f>THG!R19/THG!$D19-1</f>
        <v>0.52273611166704548</v>
      </c>
      <c r="S19" s="34">
        <f>THG!S19/THG!$D19-1</f>
        <v>0.52459613528889237</v>
      </c>
      <c r="T19" s="34">
        <f>THG!T19/THG!$D19-1</f>
        <v>0.57211082317402928</v>
      </c>
      <c r="U19" s="34">
        <f>THG!U19/THG!$D19-1</f>
        <v>0.62137827752002384</v>
      </c>
      <c r="V19" s="34">
        <f>THG!V19/THG!$D19-1</f>
        <v>0.59898680938782234</v>
      </c>
      <c r="W19" s="34">
        <f>THG!W19/THG!$D19-1</f>
        <v>0.61055244071122039</v>
      </c>
      <c r="X19" s="34">
        <f>THG!X19/THG!$D19-1</f>
        <v>0.66990464334226352</v>
      </c>
      <c r="Y19" s="34">
        <f>THG!Y19/THG!$D19-1</f>
        <v>0.7005878799851728</v>
      </c>
      <c r="Z19" s="34">
        <f>THG!Z19/THG!$D19-1</f>
        <v>0.72132862221558214</v>
      </c>
      <c r="AA19" s="34">
        <f>THG!AA19/THG!$D19-1</f>
        <v>0.71483832447915785</v>
      </c>
      <c r="AB19" s="34">
        <f>THG!AB19/THG!$D19-1</f>
        <v>0.71819214139951937</v>
      </c>
      <c r="AC19" s="34">
        <f>THG!AC19/THG!$D19-1</f>
        <v>0.75804576756645026</v>
      </c>
      <c r="AD19" s="34">
        <f>THG!AD19/THG!$D19-1</f>
        <v>0.77017032114808148</v>
      </c>
      <c r="AE19" s="34">
        <f>THG!AE19/THG!$D19-1</f>
        <v>0.76949235174681974</v>
      </c>
      <c r="AF19" s="34">
        <f>THG!AF19/THG!$D19-1</f>
        <v>0.67403740467516382</v>
      </c>
      <c r="AG19" s="34">
        <f>THG!AG19/THG!$D19-1</f>
        <v>0.59555920447510369</v>
      </c>
      <c r="AH19" s="34">
        <f>THG!AH19/THG!$D19-1</f>
        <v>0.43384751505337937</v>
      </c>
      <c r="AI19" s="34">
        <f>THG!AI19/THG!$D19-1</f>
        <v>0.38337353319695699</v>
      </c>
      <c r="AJ19" s="34">
        <f>THG!AJ19/THG!$D19-1</f>
        <v>0.28887426500128321</v>
      </c>
      <c r="AK19" s="34">
        <f>THG!AK19/THG!$D19-1</f>
        <v>0.19291448766626274</v>
      </c>
      <c r="AL19" s="34">
        <f>THG!AL19/THG!$D19-1</f>
        <v>0.15169309460305391</v>
      </c>
    </row>
    <row r="20" spans="2:38" s="150" customFormat="1" ht="18.75" customHeight="1">
      <c r="B20" s="90"/>
      <c r="C20" s="160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</row>
    <row r="21" spans="2:38" s="10" customFormat="1" ht="18.75" customHeight="1">
      <c r="B21" s="152" t="s">
        <v>10</v>
      </c>
      <c r="C21" s="163" t="s">
        <v>3</v>
      </c>
      <c r="D21" s="32">
        <f>THG!D21/THG!$D21-1</f>
        <v>0</v>
      </c>
      <c r="E21" s="32">
        <f>THG!E21/THG!$D21-1</f>
        <v>-7.5943545578495142E-3</v>
      </c>
      <c r="F21" s="32">
        <f>THG!F21/THG!$D21-1</f>
        <v>-9.4034636603666732E-2</v>
      </c>
      <c r="G21" s="32">
        <f>THG!G21/THG!$D21-1</f>
        <v>-6.1996628880730875E-2</v>
      </c>
      <c r="H21" s="32">
        <f>THG!H21/THG!$D21-1</f>
        <v>-0.11332972683796572</v>
      </c>
      <c r="I21" s="32">
        <f>THG!I21/THG!$D21-1</f>
        <v>-0.10625238352702504</v>
      </c>
      <c r="J21" s="32">
        <f>THG!J21/THG!$D21-1</f>
        <v>4.0835038368480792E-3</v>
      </c>
      <c r="K21" s="32">
        <f>THG!K21/THG!$D21-1</f>
        <v>-5.8910317243072607E-2</v>
      </c>
      <c r="L21" s="32">
        <f>THG!L21/THG!$D21-1</f>
        <v>-9.7684252216342471E-2</v>
      </c>
      <c r="M21" s="32">
        <f>THG!M21/THG!$D21-1</f>
        <v>-0.17709960733986074</v>
      </c>
      <c r="N21" s="32">
        <f>THG!N21/THG!$D21-1</f>
        <v>-0.2058673450619305</v>
      </c>
      <c r="O21" s="32">
        <f>THG!O21/THG!$D21-1</f>
        <v>-0.10926096612527725</v>
      </c>
      <c r="P21" s="32">
        <f>THG!P21/THG!$D21-1</f>
        <v>-0.17115114934337738</v>
      </c>
      <c r="Q21" s="32">
        <f>THG!Q21/THG!$D21-1</f>
        <v>-0.23151178237607173</v>
      </c>
      <c r="R21" s="32">
        <f>THG!R21/THG!$D21-1</f>
        <v>-0.27045701265155397</v>
      </c>
      <c r="S21" s="32">
        <f>THG!S21/THG!$D21-1</f>
        <v>-0.25090278758047679</v>
      </c>
      <c r="T21" s="32">
        <f>THG!T21/THG!$D21-1</f>
        <v>-0.22034785582841032</v>
      </c>
      <c r="U21" s="32">
        <f>THG!U21/THG!$D21-1</f>
        <v>-0.41885068410905058</v>
      </c>
      <c r="V21" s="32">
        <f>THG!V21/THG!$D21-1</f>
        <v>-0.2988926730281154</v>
      </c>
      <c r="W21" s="32">
        <f>THG!W21/THG!$D21-1</f>
        <v>-0.34687405358391465</v>
      </c>
      <c r="X21" s="32">
        <f>THG!X21/THG!$D21-1</f>
        <v>-0.31945320432067614</v>
      </c>
      <c r="Y21" s="32">
        <f>THG!Y21/THG!$D21-1</f>
        <v>-0.40647046655216534</v>
      </c>
      <c r="Z21" s="32">
        <f>THG!Z21/THG!$D21-1</f>
        <v>-0.37927576211759417</v>
      </c>
      <c r="AA21" s="32">
        <f>THG!AA21/THG!$D21-1</f>
        <v>-0.33765991763572523</v>
      </c>
      <c r="AB21" s="32">
        <f>THG!AB21/THG!$D21-1</f>
        <v>-0.42727008053654136</v>
      </c>
      <c r="AC21" s="32">
        <f>THG!AC21/THG!$D21-1</f>
        <v>-0.39893863179786493</v>
      </c>
      <c r="AD21" s="32">
        <f>THG!AD21/THG!$D21-1</f>
        <v>-0.42148151350547802</v>
      </c>
      <c r="AE21" s="32">
        <f>THG!AE21/THG!$D21-1</f>
        <v>-0.42326568125912778</v>
      </c>
      <c r="AF21" s="32">
        <f>THG!AF21/THG!$D21-1</f>
        <v>-0.44716951804536498</v>
      </c>
      <c r="AG21" s="32">
        <f>THG!AG21/THG!$D21-1</f>
        <v>-0.41771323855686437</v>
      </c>
      <c r="AH21" s="32">
        <f>THG!AH21/THG!$D21-1</f>
        <v>-0.41675628013697952</v>
      </c>
      <c r="AI21" s="32">
        <f>THG!AI21/THG!$D21-1</f>
        <v>-0.43204158404545123</v>
      </c>
      <c r="AJ21" s="32">
        <f>THG!AJ21/THG!$D21-1</f>
        <v>-0.47380828403048891</v>
      </c>
      <c r="AK21" s="32">
        <f>THG!AK21/THG!$D21-1</f>
        <v>-0.5099066078009501</v>
      </c>
      <c r="AL21" s="32">
        <f>THG!AL21/THG!$D21-1</f>
        <v>-0.52131829561943632</v>
      </c>
    </row>
    <row r="22" spans="2:38" s="150" customFormat="1" ht="18.75" customHeight="1">
      <c r="B22" s="90" t="s">
        <v>72</v>
      </c>
      <c r="C22" s="160" t="s">
        <v>3</v>
      </c>
      <c r="D22" s="92">
        <f>THG!D22/THG!$D22-1</f>
        <v>0</v>
      </c>
      <c r="E22" s="92">
        <f>THG!E22/THG!$D22-1</f>
        <v>1.5622041973222256E-3</v>
      </c>
      <c r="F22" s="92">
        <f>THG!F22/THG!$D22-1</f>
        <v>-0.11155146782875447</v>
      </c>
      <c r="G22" s="92">
        <f>THG!G22/THG!$D22-1</f>
        <v>-0.14795027031956376</v>
      </c>
      <c r="H22" s="92">
        <f>THG!H22/THG!$D22-1</f>
        <v>-0.21869731410014281</v>
      </c>
      <c r="I22" s="92">
        <f>THG!I22/THG!$D22-1</f>
        <v>-0.18943903208069102</v>
      </c>
      <c r="J22" s="92">
        <f>THG!J22/THG!$D22-1</f>
        <v>-2.6713756972963965E-2</v>
      </c>
      <c r="K22" s="92">
        <f>THG!K22/THG!$D22-1</f>
        <v>-0.16429835606333743</v>
      </c>
      <c r="L22" s="92">
        <f>THG!L22/THG!$D22-1</f>
        <v>-0.18984077271489797</v>
      </c>
      <c r="M22" s="92">
        <f>THG!M22/THG!$D22-1</f>
        <v>-0.25199301854033762</v>
      </c>
      <c r="N22" s="92">
        <f>THG!N22/THG!$D22-1</f>
        <v>-0.30851137666905115</v>
      </c>
      <c r="O22" s="92">
        <f>THG!O22/THG!$D22-1</f>
        <v>-0.19869733760677299</v>
      </c>
      <c r="P22" s="92">
        <f>THG!P22/THG!$D22-1</f>
        <v>-0.24324762828529245</v>
      </c>
      <c r="Q22" s="92">
        <f>THG!Q22/THG!$D22-1</f>
        <v>-0.44133953066438469</v>
      </c>
      <c r="R22" s="92">
        <f>THG!R22/THG!$D22-1</f>
        <v>-0.43796907547696817</v>
      </c>
      <c r="S22" s="92">
        <f>THG!S22/THG!$D22-1</f>
        <v>-0.33587954165298028</v>
      </c>
      <c r="T22" s="92">
        <f>THG!T22/THG!$D22-1</f>
        <v>-0.26749901789951414</v>
      </c>
      <c r="U22" s="92">
        <f>THG!U22/THG!$D22-1</f>
        <v>-0.49192968317758368</v>
      </c>
      <c r="V22" s="92">
        <f>THG!V22/THG!$D22-1</f>
        <v>-0.40843895178134848</v>
      </c>
      <c r="W22" s="92">
        <f>THG!W22/THG!$D22-1</f>
        <v>-0.44383858974477053</v>
      </c>
      <c r="X22" s="92">
        <f>THG!X22/THG!$D22-1</f>
        <v>-0.46006995556589458</v>
      </c>
      <c r="Y22" s="92">
        <f>THG!Y22/THG!$D22-1</f>
        <v>-0.47131191050529098</v>
      </c>
      <c r="Z22" s="92">
        <f>THG!Z22/THG!$D22-1</f>
        <v>-0.48547977314947388</v>
      </c>
      <c r="AA22" s="92">
        <f>THG!AA22/THG!$D22-1</f>
        <v>-0.43362658901217266</v>
      </c>
      <c r="AB22" s="92">
        <f>THG!AB22/THG!$D22-1</f>
        <v>-0.46955676289355075</v>
      </c>
      <c r="AC22" s="92">
        <f>THG!AC22/THG!$D22-1</f>
        <v>-0.44843030700032749</v>
      </c>
      <c r="AD22" s="92">
        <f>THG!AD22/THG!$D22-1</f>
        <v>-0.56597982630123578</v>
      </c>
      <c r="AE22" s="92">
        <f>THG!AE22/THG!$D22-1</f>
        <v>-0.54692901072585487</v>
      </c>
      <c r="AF22" s="92">
        <f>THG!AF22/THG!$D22-1</f>
        <v>-0.61130886075394653</v>
      </c>
      <c r="AG22" s="92">
        <f>THG!AG22/THG!$D22-1</f>
        <v>-0.60557326013166124</v>
      </c>
      <c r="AH22" s="92">
        <f>THG!AH22/THG!$D22-1</f>
        <v>-0.61946258969810475</v>
      </c>
      <c r="AI22" s="92">
        <f>THG!AI22/THG!$D22-1</f>
        <v>-0.60749306687614335</v>
      </c>
      <c r="AJ22" s="92">
        <f>THG!AJ22/THG!$D22-1</f>
        <v>-0.62790314111018564</v>
      </c>
      <c r="AK22" s="92">
        <f>THG!AK22/THG!$D22-1</f>
        <v>-0.64920446028087464</v>
      </c>
      <c r="AL22" s="92">
        <f>THG!AL22/THG!$D22-1</f>
        <v>-0.67340963460585934</v>
      </c>
    </row>
    <row r="23" spans="2:38" s="150" customFormat="1" ht="18.75" customHeight="1">
      <c r="B23" s="19" t="s">
        <v>17</v>
      </c>
      <c r="C23" s="159" t="s">
        <v>3</v>
      </c>
      <c r="D23" s="34">
        <f>THG!D23/THG!$D23-1</f>
        <v>0</v>
      </c>
      <c r="E23" s="34">
        <f>THG!E23/THG!$D23-1</f>
        <v>1.3491781263098801E-2</v>
      </c>
      <c r="F23" s="34">
        <f>THG!F23/THG!$D23-1</f>
        <v>-5.1806587568248963E-2</v>
      </c>
      <c r="G23" s="34">
        <f>THG!G23/THG!$D23-1</f>
        <v>2.7198041766684611E-2</v>
      </c>
      <c r="H23" s="34">
        <f>THG!H23/THG!$D23-1</f>
        <v>-1.5995258247212929E-2</v>
      </c>
      <c r="I23" s="34">
        <f>THG!I23/THG!$D23-1</f>
        <v>-1.3194041077506657E-2</v>
      </c>
      <c r="J23" s="34">
        <f>THG!J23/THG!$D23-1</f>
        <v>8.781597851796219E-2</v>
      </c>
      <c r="K23" s="34">
        <f>THG!K23/THG!$D23-1</f>
        <v>5.700220685421975E-2</v>
      </c>
      <c r="L23" s="34">
        <f>THG!L23/THG!$D23-1</f>
        <v>8.0009144537274146E-3</v>
      </c>
      <c r="M23" s="34">
        <f>THG!M23/THG!$D23-1</f>
        <v>-8.3925593183015623E-2</v>
      </c>
      <c r="N23" s="34">
        <f>THG!N23/THG!$D23-1</f>
        <v>-9.9465484208484667E-2</v>
      </c>
      <c r="O23" s="34">
        <f>THG!O23/THG!$D23-1</f>
        <v>2.6220878670497605E-3</v>
      </c>
      <c r="P23" s="34">
        <f>THG!P23/THG!$D23-1</f>
        <v>-7.3864210501383365E-2</v>
      </c>
      <c r="Q23" s="34">
        <f>THG!Q23/THG!$D23-1</f>
        <v>-7.1756810461641507E-2</v>
      </c>
      <c r="R23" s="34">
        <f>THG!R23/THG!$D23-1</f>
        <v>-0.1331796453212365</v>
      </c>
      <c r="S23" s="34">
        <f>THG!S23/THG!$D23-1</f>
        <v>-0.15316813337001167</v>
      </c>
      <c r="T23" s="34">
        <f>THG!T23/THG!$D23-1</f>
        <v>-0.13746064162902971</v>
      </c>
      <c r="U23" s="34">
        <f>THG!U23/THG!$D23-1</f>
        <v>-0.33919464453375103</v>
      </c>
      <c r="V23" s="34">
        <f>THG!V23/THG!$D23-1</f>
        <v>-0.19024674919758466</v>
      </c>
      <c r="W23" s="34">
        <f>THG!W23/THG!$D23-1</f>
        <v>-0.24909256945905556</v>
      </c>
      <c r="X23" s="34">
        <f>THG!X23/THG!$D23-1</f>
        <v>-0.19709126960044832</v>
      </c>
      <c r="Y23" s="34">
        <f>THG!Y23/THG!$D23-1</f>
        <v>-0.3290748143931761</v>
      </c>
      <c r="Z23" s="34">
        <f>THG!Z23/THG!$D23-1</f>
        <v>-0.27718441697137808</v>
      </c>
      <c r="AA23" s="34">
        <f>THG!AA23/THG!$D23-1</f>
        <v>-0.23714299715071097</v>
      </c>
      <c r="AB23" s="34">
        <f>THG!AB23/THG!$D23-1</f>
        <v>-0.36120113944787746</v>
      </c>
      <c r="AC23" s="34">
        <f>THG!AC23/THG!$D23-1</f>
        <v>-0.32662006354903861</v>
      </c>
      <c r="AD23" s="34">
        <f>THG!AD23/THG!$D23-1</f>
        <v>-0.30419851365846939</v>
      </c>
      <c r="AE23" s="34">
        <f>THG!AE23/THG!$D23-1</f>
        <v>-0.31515216495796872</v>
      </c>
      <c r="AF23" s="34">
        <f>THG!AF23/THG!$D23-1</f>
        <v>-0.32039715131483193</v>
      </c>
      <c r="AG23" s="34">
        <f>THG!AG23/THG!$D23-1</f>
        <v>-0.27765368987937367</v>
      </c>
      <c r="AH23" s="34">
        <f>THG!AH23/THG!$D23-1</f>
        <v>-0.26820557481834606</v>
      </c>
      <c r="AI23" s="34">
        <f>THG!AI23/THG!$D23-1</f>
        <v>-0.29993426403179269</v>
      </c>
      <c r="AJ23" s="34">
        <f>THG!AJ23/THG!$D23-1</f>
        <v>-0.35527220380325175</v>
      </c>
      <c r="AK23" s="34">
        <f>THG!AK23/THG!$D23-1</f>
        <v>-0.40178685865721475</v>
      </c>
      <c r="AL23" s="34">
        <f>THG!AL23/THG!$D23-1</f>
        <v>-0.40811087445909588</v>
      </c>
    </row>
    <row r="24" spans="2:38" s="150" customFormat="1" ht="18.75" customHeight="1">
      <c r="B24" s="90" t="s">
        <v>73</v>
      </c>
      <c r="C24" s="160" t="s">
        <v>3</v>
      </c>
      <c r="D24" s="92">
        <f>THG!D24/THG!$D24-1</f>
        <v>0</v>
      </c>
      <c r="E24" s="92">
        <f>THG!E24/THG!$D24-1</f>
        <v>-0.28685928068370059</v>
      </c>
      <c r="F24" s="92">
        <f>THG!F24/THG!$D24-1</f>
        <v>-0.45885751860688861</v>
      </c>
      <c r="G24" s="92">
        <f>THG!G24/THG!$D24-1</f>
        <v>-0.56708951321161272</v>
      </c>
      <c r="H24" s="92">
        <f>THG!H24/THG!$D24-1</f>
        <v>-0.6017703496766984</v>
      </c>
      <c r="I24" s="92">
        <f>THG!I24/THG!$D24-1</f>
        <v>-0.6684228133550858</v>
      </c>
      <c r="J24" s="92">
        <f>THG!J24/THG!$D24-1</f>
        <v>-0.74065774520599148</v>
      </c>
      <c r="K24" s="92">
        <f>THG!K24/THG!$D24-1</f>
        <v>-0.74953629510222775</v>
      </c>
      <c r="L24" s="92">
        <f>THG!L24/THG!$D24-1</f>
        <v>-0.74870230224466783</v>
      </c>
      <c r="M24" s="92">
        <f>THG!M24/THG!$D24-1</f>
        <v>-0.78550578297854745</v>
      </c>
      <c r="N24" s="92">
        <f>THG!N24/THG!$D24-1</f>
        <v>-0.80781320528617173</v>
      </c>
      <c r="O24" s="92">
        <f>THG!O24/THG!$D24-1</f>
        <v>-0.84251976668640949</v>
      </c>
      <c r="P24" s="92">
        <f>THG!P24/THG!$D24-1</f>
        <v>-0.83951135107755903</v>
      </c>
      <c r="Q24" s="92">
        <f>THG!Q24/THG!$D24-1</f>
        <v>-0.83313638246653099</v>
      </c>
      <c r="R24" s="92">
        <f>THG!R24/THG!$D24-1</f>
        <v>-0.8568112133232787</v>
      </c>
      <c r="S24" s="92">
        <f>THG!S24/THG!$D24-1</f>
        <v>-0.85428536365127505</v>
      </c>
      <c r="T24" s="92">
        <f>THG!T24/THG!$D24-1</f>
        <v>-0.86719397726144942</v>
      </c>
      <c r="U24" s="92">
        <f>THG!U24/THG!$D24-1</f>
        <v>-0.88989975217740147</v>
      </c>
      <c r="V24" s="92">
        <f>THG!V24/THG!$D24-1</f>
        <v>-0.88784158641511157</v>
      </c>
      <c r="W24" s="92">
        <f>THG!W24/THG!$D24-1</f>
        <v>-0.88575396805509721</v>
      </c>
      <c r="X24" s="92">
        <f>THG!X24/THG!$D24-1</f>
        <v>-0.88925307044315482</v>
      </c>
      <c r="Y24" s="92">
        <f>THG!Y24/THG!$D24-1</f>
        <v>-0.89758041735198824</v>
      </c>
      <c r="Z24" s="92">
        <f>THG!Z24/THG!$D24-1</f>
        <v>-0.91497784331766785</v>
      </c>
      <c r="AA24" s="92">
        <f>THG!AA24/THG!$D24-1</f>
        <v>-0.91173763040945677</v>
      </c>
      <c r="AB24" s="92">
        <f>THG!AB24/THG!$D24-1</f>
        <v>-0.91736341687039613</v>
      </c>
      <c r="AC24" s="92">
        <f>THG!AC24/THG!$D24-1</f>
        <v>-0.91800970946589022</v>
      </c>
      <c r="AD24" s="92">
        <f>THG!AD24/THG!$D24-1</f>
        <v>-0.91492627533950244</v>
      </c>
      <c r="AE24" s="92">
        <f>THG!AE24/THG!$D24-1</f>
        <v>-0.92985709212303469</v>
      </c>
      <c r="AF24" s="92">
        <f>THG!AF24/THG!$D24-1</f>
        <v>-0.93742593066478686</v>
      </c>
      <c r="AG24" s="92">
        <f>THG!AG24/THG!$D24-1</f>
        <v>-0.92401076773662516</v>
      </c>
      <c r="AH24" s="92">
        <f>THG!AH24/THG!$D24-1</f>
        <v>-0.93499898363125944</v>
      </c>
      <c r="AI24" s="92">
        <f>THG!AI24/THG!$D24-1</f>
        <v>-0.91904182683953817</v>
      </c>
      <c r="AJ24" s="92">
        <f>THG!AJ24/THG!$D24-1</f>
        <v>-0.92885348512373889</v>
      </c>
      <c r="AK24" s="92">
        <f>THG!AK24/THG!$D24-1</f>
        <v>-0.93177615297290595</v>
      </c>
      <c r="AL24" s="92">
        <f>THG!AL24/THG!$D24-1</f>
        <v>-0.92920533402139427</v>
      </c>
    </row>
    <row r="25" spans="2:38" s="150" customFormat="1" ht="18.75" customHeight="1">
      <c r="B25" s="19"/>
      <c r="C25" s="15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2:38" s="10" customFormat="1" ht="18.75" customHeight="1">
      <c r="B26" s="153" t="s">
        <v>14</v>
      </c>
      <c r="C26" s="22" t="s">
        <v>3</v>
      </c>
      <c r="D26" s="31">
        <f>THG!D26/THG!$D26-1</f>
        <v>0</v>
      </c>
      <c r="E26" s="31">
        <f>THG!E26/THG!$D26-1</f>
        <v>1.8045742301386891E-2</v>
      </c>
      <c r="F26" s="31">
        <f>THG!F26/THG!$D26-1</f>
        <v>5.3947198686008724E-2</v>
      </c>
      <c r="G26" s="31">
        <f>THG!G26/THG!$D26-1</f>
        <v>8.0422793822628291E-2</v>
      </c>
      <c r="H26" s="31">
        <f>THG!H26/THG!$D26-1</f>
        <v>5.5754834784069951E-2</v>
      </c>
      <c r="I26" s="31">
        <f>THG!I26/THG!$D26-1</f>
        <v>7.8155432039835437E-2</v>
      </c>
      <c r="J26" s="31">
        <f>THG!J26/THG!$D26-1</f>
        <v>7.5608233044256901E-2</v>
      </c>
      <c r="K26" s="31">
        <f>THG!K26/THG!$D26-1</f>
        <v>7.8145982880595488E-2</v>
      </c>
      <c r="L26" s="31">
        <f>THG!L26/THG!$D26-1</f>
        <v>9.8197967593726343E-2</v>
      </c>
      <c r="M26" s="31">
        <f>THG!M26/THG!$D26-1</f>
        <v>0.1296210547353791</v>
      </c>
      <c r="N26" s="31">
        <f>THG!N26/THG!$D26-1</f>
        <v>0.10548177782539581</v>
      </c>
      <c r="O26" s="31">
        <f>THG!O26/THG!$D26-1</f>
        <v>8.1652656735610396E-2</v>
      </c>
      <c r="P26" s="31">
        <f>THG!P26/THG!$D26-1</f>
        <v>6.6284629745551715E-2</v>
      </c>
      <c r="Q26" s="31">
        <f>THG!Q26/THG!$D26-1</f>
        <v>1.1389353644547073E-2</v>
      </c>
      <c r="R26" s="31">
        <f>THG!R26/THG!$D26-1</f>
        <v>-2.2809320478959449E-2</v>
      </c>
      <c r="S26" s="31">
        <f>THG!S26/THG!$D26-1</f>
        <v>-4.7724975283541138E-2</v>
      </c>
      <c r="T26" s="31">
        <f>THG!T26/THG!$D26-1</f>
        <v>-1.8841475718211376E-2</v>
      </c>
      <c r="U26" s="31">
        <f>THG!U26/THG!$D26-1</f>
        <v>-6.6829570526977022E-2</v>
      </c>
      <c r="V26" s="31">
        <f>THG!V26/THG!$D26-1</f>
        <v>-3.6688490563674847E-2</v>
      </c>
      <c r="W26" s="31">
        <f>THG!W26/THG!$D26-1</f>
        <v>-6.9632260932049994E-2</v>
      </c>
      <c r="X26" s="31">
        <f>THG!X26/THG!$D26-1</f>
        <v>-7.9013021010283402E-2</v>
      </c>
      <c r="Y26" s="31">
        <f>THG!Y26/THG!$D26-1</f>
        <v>-6.7646612434318576E-2</v>
      </c>
      <c r="Z26" s="31">
        <f>THG!Z26/THG!$D26-1</f>
        <v>-7.7829629042437731E-2</v>
      </c>
      <c r="AA26" s="31">
        <f>THG!AA26/THG!$D26-1</f>
        <v>-5.3094851275562682E-2</v>
      </c>
      <c r="AB26" s="31">
        <f>THG!AB26/THG!$D26-1</f>
        <v>-5.817109033426493E-2</v>
      </c>
      <c r="AC26" s="31">
        <f>THG!AC26/THG!$D26-1</f>
        <v>-1.0249078043407467E-2</v>
      </c>
      <c r="AD26" s="31">
        <f>THG!AD26/THG!$D26-1</f>
        <v>2.7452753351480119E-3</v>
      </c>
      <c r="AE26" s="31">
        <f>THG!AE26/THG!$D26-1</f>
        <v>1.1147812428970338E-2</v>
      </c>
      <c r="AF26" s="31">
        <f>THG!AF26/THG!$D26-1</f>
        <v>1.2397812479366221E-2</v>
      </c>
      <c r="AG26" s="31">
        <f>THG!AG26/THG!$D26-1</f>
        <v>5.9294256726498684E-3</v>
      </c>
      <c r="AH26" s="31">
        <f>THG!AH26/THG!$D26-1</f>
        <v>-0.10388164306407344</v>
      </c>
      <c r="AI26" s="31">
        <f>THG!AI26/THG!$D26-1</f>
        <v>-0.11481922506470266</v>
      </c>
      <c r="AJ26" s="31">
        <f>THG!AJ26/THG!$D26-1</f>
        <v>-9.5892112463180634E-2</v>
      </c>
      <c r="AK26" s="31">
        <f>THG!AK26/THG!$D26-1</f>
        <v>-0.11156173390740975</v>
      </c>
      <c r="AL26" s="31">
        <f>THG!AL26/THG!$D26-1</f>
        <v>-0.12427261340911711</v>
      </c>
    </row>
    <row r="27" spans="2:38" s="150" customFormat="1" ht="18.75" customHeight="1">
      <c r="B27" s="19" t="s">
        <v>4</v>
      </c>
      <c r="C27" s="159" t="s">
        <v>3</v>
      </c>
      <c r="D27" s="34">
        <f>THG!D27/THG!$D27-1</f>
        <v>0</v>
      </c>
      <c r="E27" s="34">
        <f>THG!E27/THG!$D27-1</f>
        <v>-3.5818305381034365E-2</v>
      </c>
      <c r="F27" s="34">
        <f>THG!F27/THG!$D27-1</f>
        <v>-2.0105122206251824E-2</v>
      </c>
      <c r="G27" s="34">
        <f>THG!G27/THG!$D27-1</f>
        <v>-5.7453822381842823E-2</v>
      </c>
      <c r="H27" s="34">
        <f>THG!H27/THG!$D27-1</f>
        <v>-6.5318763891296761E-2</v>
      </c>
      <c r="I27" s="34">
        <f>THG!I27/THG!$D27-1</f>
        <v>-1.9260054817831662E-2</v>
      </c>
      <c r="J27" s="34">
        <f>THG!J27/THG!$D27-1</f>
        <v>-5.5732725183466836E-2</v>
      </c>
      <c r="K27" s="34">
        <f>THG!K27/THG!$D27-1</f>
        <v>-7.9880938083247699E-3</v>
      </c>
      <c r="L27" s="34">
        <f>THG!L27/THG!$D27-1</f>
        <v>-3.1781046156620363E-3</v>
      </c>
      <c r="M27" s="34">
        <f>THG!M27/THG!$D27-1</f>
        <v>1.4956851430958817E-2</v>
      </c>
      <c r="N27" s="34">
        <f>THG!N27/THG!$D27-1</f>
        <v>6.7585004794435521E-2</v>
      </c>
      <c r="O27" s="34">
        <f>THG!O27/THG!$D27-1</f>
        <v>3.168176702328207E-2</v>
      </c>
      <c r="P27" s="34">
        <f>THG!P27/THG!$D27-1</f>
        <v>-1.5889485085043953E-2</v>
      </c>
      <c r="Q27" s="34">
        <f>THG!Q27/THG!$D27-1</f>
        <v>-2.1458020791841004E-2</v>
      </c>
      <c r="R27" s="34">
        <f>THG!R27/THG!$D27-1</f>
        <v>-3.3649243787338468E-2</v>
      </c>
      <c r="S27" s="34">
        <f>THG!S27/THG!$D27-1</f>
        <v>-2.2396236421724169E-2</v>
      </c>
      <c r="T27" s="34">
        <f>THG!T27/THG!$D27-1</f>
        <v>6.4035031216214122E-4</v>
      </c>
      <c r="U27" s="34">
        <f>THG!U27/THG!$D27-1</f>
        <v>3.0486394529916971E-2</v>
      </c>
      <c r="V27" s="34">
        <f>THG!V27/THG!$D27-1</f>
        <v>4.0962484211026107E-2</v>
      </c>
      <c r="W27" s="34">
        <f>THG!W27/THG!$D27-1</f>
        <v>-2.2272895502160606E-2</v>
      </c>
      <c r="X27" s="34">
        <f>THG!X27/THG!$D27-1</f>
        <v>-2.7483084147643111E-2</v>
      </c>
      <c r="Y27" s="34">
        <f>THG!Y27/THG!$D27-1</f>
        <v>-1.7818303784045253E-2</v>
      </c>
      <c r="Z27" s="34">
        <f>THG!Z27/THG!$D27-1</f>
        <v>-6.6362499880515791E-2</v>
      </c>
      <c r="AA27" s="34">
        <f>THG!AA27/THG!$D27-1</f>
        <v>-0.15624125032050873</v>
      </c>
      <c r="AB27" s="34">
        <f>THG!AB27/THG!$D27-1</f>
        <v>-0.14688534702329947</v>
      </c>
      <c r="AC27" s="34">
        <f>THG!AC27/THG!$D27-1</f>
        <v>-0.1098422275458486</v>
      </c>
      <c r="AD27" s="34">
        <f>THG!AD27/THG!$D27-1</f>
        <v>-0.1068148141220524</v>
      </c>
      <c r="AE27" s="34">
        <f>THG!AE27/THG!$D27-1</f>
        <v>-0.13378958614562264</v>
      </c>
      <c r="AF27" s="34">
        <f>THG!AF27/THG!$D27-1</f>
        <v>-0.13712700821184576</v>
      </c>
      <c r="AG27" s="34">
        <f>THG!AG27/THG!$D27-1</f>
        <v>-0.11085907394164585</v>
      </c>
      <c r="AH27" s="34">
        <f>THG!AH27/THG!$D27-1</f>
        <v>-0.6016075080709069</v>
      </c>
      <c r="AI27" s="34">
        <f>THG!AI27/THG!$D27-1</f>
        <v>-0.69246734819635403</v>
      </c>
      <c r="AJ27" s="34">
        <f>THG!AJ27/THG!$D27-1</f>
        <v>-0.55344982977778634</v>
      </c>
      <c r="AK27" s="34">
        <f>THG!AK27/THG!$D27-1</f>
        <v>-0.53156080193614641</v>
      </c>
      <c r="AL27" s="34">
        <f>THG!AL27/THG!$D27-1</f>
        <v>-0.52700749720096607</v>
      </c>
    </row>
    <row r="28" spans="2:38" s="150" customFormat="1" ht="18.75" customHeight="1">
      <c r="B28" s="90" t="s">
        <v>5</v>
      </c>
      <c r="C28" s="160" t="s">
        <v>3</v>
      </c>
      <c r="D28" s="92">
        <f>THG!D28/THG!$D28-1</f>
        <v>0</v>
      </c>
      <c r="E28" s="92">
        <f>THG!E28/THG!$D28-1</f>
        <v>2.2543483073109716E-2</v>
      </c>
      <c r="F28" s="92">
        <f>THG!F28/THG!$D28-1</f>
        <v>6.0126818207337784E-2</v>
      </c>
      <c r="G28" s="92">
        <f>THG!G28/THG!$D28-1</f>
        <v>8.8803266268155046E-2</v>
      </c>
      <c r="H28" s="92">
        <f>THG!H28/THG!$D28-1</f>
        <v>6.4490451091267831E-2</v>
      </c>
      <c r="I28" s="92">
        <f>THG!I28/THG!$D28-1</f>
        <v>9.0906169601473019E-2</v>
      </c>
      <c r="J28" s="92">
        <f>THG!J28/THG!$D28-1</f>
        <v>9.0722525744813654E-2</v>
      </c>
      <c r="K28" s="92">
        <f>THG!K28/THG!$D28-1</f>
        <v>9.5984587374848163E-2</v>
      </c>
      <c r="L28" s="92">
        <f>THG!L28/THG!$D28-1</f>
        <v>0.11772422975725227</v>
      </c>
      <c r="M28" s="92">
        <f>THG!M28/THG!$D28-1</f>
        <v>0.15287281051652091</v>
      </c>
      <c r="N28" s="92">
        <f>THG!N28/THG!$D28-1</f>
        <v>0.12706377663470181</v>
      </c>
      <c r="O28" s="92">
        <f>THG!O28/THG!$D28-1</f>
        <v>0.10360016426824781</v>
      </c>
      <c r="P28" s="92">
        <f>THG!P28/THG!$D28-1</f>
        <v>8.9427949458376732E-2</v>
      </c>
      <c r="Q28" s="92">
        <f>THG!Q28/THG!$D28-1</f>
        <v>2.9574810813839614E-2</v>
      </c>
      <c r="R28" s="92">
        <f>THG!R28/THG!$D28-1</f>
        <v>-6.4611666884276664E-3</v>
      </c>
      <c r="S28" s="92">
        <f>THG!S28/THG!$D28-1</f>
        <v>-3.3037080068719638E-2</v>
      </c>
      <c r="T28" s="92">
        <f>THG!T28/THG!$D28-1</f>
        <v>-2.0732341624343231E-3</v>
      </c>
      <c r="U28" s="92">
        <f>THG!U28/THG!$D28-1</f>
        <v>-5.1586879873387503E-2</v>
      </c>
      <c r="V28" s="92">
        <f>THG!V28/THG!$D28-1</f>
        <v>-2.1185462502233632E-2</v>
      </c>
      <c r="W28" s="92">
        <f>THG!W28/THG!$D28-1</f>
        <v>-5.1889751950543128E-2</v>
      </c>
      <c r="X28" s="92">
        <f>THG!X28/THG!$D28-1</f>
        <v>-6.2797878123255879E-2</v>
      </c>
      <c r="Y28" s="92">
        <f>THG!Y28/THG!$D28-1</f>
        <v>-5.0159162207747965E-2</v>
      </c>
      <c r="Z28" s="92">
        <f>THG!Z28/THG!$D28-1</f>
        <v>-5.9939307711518008E-2</v>
      </c>
      <c r="AA28" s="92">
        <f>THG!AA28/THG!$D28-1</f>
        <v>-3.2579074929873775E-2</v>
      </c>
      <c r="AB28" s="92">
        <f>THG!AB28/THG!$D28-1</f>
        <v>-3.7546153250843761E-2</v>
      </c>
      <c r="AC28" s="92">
        <f>THG!AC28/THG!$D28-1</f>
        <v>1.2062980480683327E-2</v>
      </c>
      <c r="AD28" s="92">
        <f>THG!AD28/THG!$D28-1</f>
        <v>2.6000791986928284E-2</v>
      </c>
      <c r="AE28" s="92">
        <f>THG!AE28/THG!$D28-1</f>
        <v>3.6419196563618916E-2</v>
      </c>
      <c r="AF28" s="92">
        <f>THG!AF28/THG!$D28-1</f>
        <v>3.8365425366264416E-2</v>
      </c>
      <c r="AG28" s="92">
        <f>THG!AG28/THG!$D28-1</f>
        <v>3.0511156718545429E-2</v>
      </c>
      <c r="AH28" s="92">
        <f>THG!AH28/THG!$D28-1</f>
        <v>-7.7123528466523039E-2</v>
      </c>
      <c r="AI28" s="92">
        <f>THG!AI28/THG!$D28-1</f>
        <v>-8.6553155852487573E-2</v>
      </c>
      <c r="AJ28" s="92">
        <f>THG!AJ28/THG!$D28-1</f>
        <v>-6.6827764574470261E-2</v>
      </c>
      <c r="AK28" s="92">
        <f>THG!AK28/THG!$D28-1</f>
        <v>-8.3728994547961122E-2</v>
      </c>
      <c r="AL28" s="92">
        <f>THG!AL28/THG!$D28-1</f>
        <v>-9.7308130105749457E-2</v>
      </c>
    </row>
    <row r="29" spans="2:38" s="150" customFormat="1" ht="18.75" customHeight="1">
      <c r="B29" s="19" t="s">
        <v>6</v>
      </c>
      <c r="C29" s="159" t="s">
        <v>3</v>
      </c>
      <c r="D29" s="34">
        <f>THG!D29/THG!$D29-1</f>
        <v>0</v>
      </c>
      <c r="E29" s="34">
        <f>THG!E29/THG!$D29-1</f>
        <v>-0.10803540874390527</v>
      </c>
      <c r="F29" s="34">
        <f>THG!F29/THG!$D29-1</f>
        <v>-0.12457645174949328</v>
      </c>
      <c r="G29" s="34">
        <f>THG!G29/THG!$D29-1</f>
        <v>-0.12849534344208213</v>
      </c>
      <c r="H29" s="34">
        <f>THG!H29/THG!$D29-1</f>
        <v>-0.18946478376413478</v>
      </c>
      <c r="I29" s="34">
        <f>THG!I29/THG!$D29-1</f>
        <v>-0.21608197499978166</v>
      </c>
      <c r="J29" s="34">
        <f>THG!J29/THG!$D29-1</f>
        <v>-0.25490532399976706</v>
      </c>
      <c r="K29" s="34">
        <f>THG!K29/THG!$D29-1</f>
        <v>-0.31230383057764821</v>
      </c>
      <c r="L29" s="34">
        <f>THG!L29/THG!$D29-1</f>
        <v>-0.35090554668872243</v>
      </c>
      <c r="M29" s="34">
        <f>THG!M29/THG!$D29-1</f>
        <v>-0.38665631269831213</v>
      </c>
      <c r="N29" s="34">
        <f>THG!N29/THG!$D29-1</f>
        <v>-0.38159431884556316</v>
      </c>
      <c r="O29" s="34">
        <f>THG!O29/THG!$D29-1</f>
        <v>-0.43318779430891874</v>
      </c>
      <c r="P29" s="34">
        <f>THG!P29/THG!$D29-1</f>
        <v>-0.47498631787605516</v>
      </c>
      <c r="Q29" s="34">
        <f>THG!Q29/THG!$D29-1</f>
        <v>-0.48482847579729826</v>
      </c>
      <c r="R29" s="34">
        <f>THG!R29/THG!$D29-1</f>
        <v>-0.51335807051894655</v>
      </c>
      <c r="S29" s="34">
        <f>THG!S29/THG!$D29-1</f>
        <v>-0.54750984896510602</v>
      </c>
      <c r="T29" s="34">
        <f>THG!T29/THG!$D29-1</f>
        <v>-0.59104371277259504</v>
      </c>
      <c r="U29" s="34">
        <f>THG!U29/THG!$D29-1</f>
        <v>-0.60463186363758747</v>
      </c>
      <c r="V29" s="34">
        <f>THG!V29/THG!$D29-1</f>
        <v>-0.61506740645655911</v>
      </c>
      <c r="W29" s="34">
        <f>THG!W29/THG!$D29-1</f>
        <v>-0.65186945071929125</v>
      </c>
      <c r="X29" s="34">
        <f>THG!X29/THG!$D29-1</f>
        <v>-0.64525941437683287</v>
      </c>
      <c r="Y29" s="34">
        <f>THG!Y29/THG!$D29-1</f>
        <v>-0.6416803922052442</v>
      </c>
      <c r="Z29" s="34">
        <f>THG!Z29/THG!$D29-1</f>
        <v>-0.67013822724531202</v>
      </c>
      <c r="AA29" s="34">
        <f>THG!AA29/THG!$D29-1</f>
        <v>-0.66446554489744747</v>
      </c>
      <c r="AB29" s="34">
        <f>THG!AB29/THG!$D29-1</f>
        <v>-0.69981763801086361</v>
      </c>
      <c r="AC29" s="34">
        <f>THG!AC29/THG!$D29-1</f>
        <v>-0.67574681832376071</v>
      </c>
      <c r="AD29" s="34">
        <f>THG!AD29/THG!$D29-1</f>
        <v>-0.66473618909339338</v>
      </c>
      <c r="AE29" s="34">
        <f>THG!AE29/THG!$D29-1</f>
        <v>-0.72185365342004904</v>
      </c>
      <c r="AF29" s="34">
        <f>THG!AF29/THG!$D29-1</f>
        <v>-0.76711084663703821</v>
      </c>
      <c r="AG29" s="34">
        <f>THG!AG29/THG!$D29-1</f>
        <v>-0.73600375038728738</v>
      </c>
      <c r="AH29" s="34">
        <f>THG!AH29/THG!$D29-1</f>
        <v>-0.73649459098661285</v>
      </c>
      <c r="AI29" s="34">
        <f>THG!AI29/THG!$D29-1</f>
        <v>-0.729226916192662</v>
      </c>
      <c r="AJ29" s="34">
        <f>THG!AJ29/THG!$D29-1</f>
        <v>-0.74310164093474063</v>
      </c>
      <c r="AK29" s="34">
        <f>THG!AK29/THG!$D29-1</f>
        <v>-0.75351479498111906</v>
      </c>
      <c r="AL29" s="34">
        <f>THG!AL29/THG!$D29-1</f>
        <v>-0.76026936144184099</v>
      </c>
    </row>
    <row r="30" spans="2:38" s="150" customFormat="1" ht="18.75" customHeight="1">
      <c r="B30" s="90" t="s">
        <v>7</v>
      </c>
      <c r="C30" s="160" t="s">
        <v>3</v>
      </c>
      <c r="D30" s="92">
        <f>THG!D30/THG!$D30-1</f>
        <v>0</v>
      </c>
      <c r="E30" s="92">
        <f>THG!E30/THG!$D30-1</f>
        <v>-3.8705353584525537E-2</v>
      </c>
      <c r="F30" s="92">
        <f>THG!F30/THG!$D30-1</f>
        <v>-1.847643461121895E-2</v>
      </c>
      <c r="G30" s="92">
        <f>THG!G30/THG!$D30-1</f>
        <v>-2.3534283943533518E-2</v>
      </c>
      <c r="H30" s="92">
        <f>THG!H30/THG!$D30-1</f>
        <v>-4.1453096380283161E-2</v>
      </c>
      <c r="I30" s="92">
        <f>THG!I30/THG!$D30-1</f>
        <v>-0.19104066080388804</v>
      </c>
      <c r="J30" s="92">
        <f>THG!J30/THG!$D30-1</f>
        <v>-0.25029672919617307</v>
      </c>
      <c r="K30" s="92">
        <f>THG!K30/THG!$D30-1</f>
        <v>-0.35910976896962055</v>
      </c>
      <c r="L30" s="92">
        <f>THG!L30/THG!$D30-1</f>
        <v>-0.35236383826578255</v>
      </c>
      <c r="M30" s="92">
        <f>THG!M30/THG!$D30-1</f>
        <v>-0.43083385503268845</v>
      </c>
      <c r="N30" s="92">
        <f>THG!N30/THG!$D30-1</f>
        <v>-0.45924578098195723</v>
      </c>
      <c r="O30" s="92">
        <f>THG!O30/THG!$D30-1</f>
        <v>-0.46352911723747492</v>
      </c>
      <c r="P30" s="92">
        <f>THG!P30/THG!$D30-1</f>
        <v>-0.48761164041250127</v>
      </c>
      <c r="Q30" s="92">
        <f>THG!Q30/THG!$D30-1</f>
        <v>-0.37444154774969785</v>
      </c>
      <c r="R30" s="92">
        <f>THG!R30/THG!$D30-1</f>
        <v>-0.33774609581083948</v>
      </c>
      <c r="S30" s="92">
        <f>THG!S30/THG!$D30-1</f>
        <v>-0.29617531168851319</v>
      </c>
      <c r="T30" s="92">
        <f>THG!T30/THG!$D30-1</f>
        <v>-0.29352814300230268</v>
      </c>
      <c r="U30" s="92">
        <f>THG!U30/THG!$D30-1</f>
        <v>-0.35937760062906277</v>
      </c>
      <c r="V30" s="92">
        <f>THG!V30/THG!$D30-1</f>
        <v>-0.28514880148791577</v>
      </c>
      <c r="W30" s="92">
        <f>THG!W30/THG!$D30-1</f>
        <v>-0.40501531738625951</v>
      </c>
      <c r="X30" s="92">
        <f>THG!X30/THG!$D30-1</f>
        <v>-0.35633721133276397</v>
      </c>
      <c r="Y30" s="92">
        <f>THG!Y30/THG!$D30-1</f>
        <v>-0.4004577733341792</v>
      </c>
      <c r="Z30" s="92">
        <f>THG!Z30/THG!$D30-1</f>
        <v>-0.38265936955763524</v>
      </c>
      <c r="AA30" s="92">
        <f>THG!AA30/THG!$D30-1</f>
        <v>-0.38384722321613918</v>
      </c>
      <c r="AB30" s="92">
        <f>THG!AB30/THG!$D30-1</f>
        <v>-0.37407538666403084</v>
      </c>
      <c r="AC30" s="92">
        <f>THG!AC30/THG!$D30-1</f>
        <v>-0.37901862019731614</v>
      </c>
      <c r="AD30" s="92">
        <f>THG!AD30/THG!$D30-1</f>
        <v>-0.40441998738649565</v>
      </c>
      <c r="AE30" s="92">
        <f>THG!AE30/THG!$D30-1</f>
        <v>-0.40342968436914894</v>
      </c>
      <c r="AF30" s="92">
        <f>THG!AF30/THG!$D30-1</f>
        <v>-0.38575161646191125</v>
      </c>
      <c r="AG30" s="92">
        <f>THG!AG30/THG!$D30-1</f>
        <v>-0.38582200466571159</v>
      </c>
      <c r="AH30" s="92">
        <f>THG!AH30/THG!$D30-1</f>
        <v>-0.42743672092107599</v>
      </c>
      <c r="AI30" s="92">
        <f>THG!AI30/THG!$D30-1</f>
        <v>-0.47277258014021428</v>
      </c>
      <c r="AJ30" s="92">
        <f>THG!AJ30/THG!$D30-1</f>
        <v>-0.55279500022084493</v>
      </c>
      <c r="AK30" s="92">
        <f>THG!AK30/THG!$D30-1</f>
        <v>-0.54000081288990653</v>
      </c>
      <c r="AL30" s="92">
        <f>THG!AL30/THG!$D30-1</f>
        <v>-0.52790090286208935</v>
      </c>
    </row>
    <row r="31" spans="2:38" s="150" customFormat="1" ht="18.75" customHeight="1">
      <c r="B31" s="19"/>
      <c r="C31" s="159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2:38" s="10" customFormat="1" ht="18.75" customHeight="1">
      <c r="B32" s="153" t="s">
        <v>15</v>
      </c>
      <c r="C32" s="22" t="s">
        <v>3</v>
      </c>
      <c r="D32" s="31">
        <f>THG!D32/THG!$D32-1</f>
        <v>0</v>
      </c>
      <c r="E32" s="31">
        <f>THG!E32/THG!$D32-1</f>
        <v>-0.10088858780765375</v>
      </c>
      <c r="F32" s="31">
        <f>THG!F32/THG!$D32-1</f>
        <v>-0.12698916546942507</v>
      </c>
      <c r="G32" s="31">
        <f>THG!G32/THG!$D32-1</f>
        <v>-0.13239511966528961</v>
      </c>
      <c r="H32" s="31">
        <f>THG!H32/THG!$D32-1</f>
        <v>-0.13273230041063544</v>
      </c>
      <c r="I32" s="31">
        <f>THG!I32/THG!$D32-1</f>
        <v>-0.12846801819041342</v>
      </c>
      <c r="J32" s="31">
        <f>THG!J32/THG!$D32-1</f>
        <v>-0.10902901416919331</v>
      </c>
      <c r="K32" s="31">
        <f>THG!K32/THG!$D32-1</f>
        <v>-0.13689705198332269</v>
      </c>
      <c r="L32" s="31">
        <f>THG!L32/THG!$D32-1</f>
        <v>-0.14424476340609738</v>
      </c>
      <c r="M32" s="31">
        <f>THG!M32/THG!$D32-1</f>
        <v>-0.13702047647871252</v>
      </c>
      <c r="N32" s="31">
        <f>THG!N32/THG!$D32-1</f>
        <v>-0.15333791627482829</v>
      </c>
      <c r="O32" s="31">
        <f>THG!O32/THG!$D32-1</f>
        <v>-0.14492379003707168</v>
      </c>
      <c r="P32" s="31">
        <f>THG!P32/THG!$D32-1</f>
        <v>-0.17251946107053251</v>
      </c>
      <c r="Q32" s="31">
        <f>THG!Q32/THG!$D32-1</f>
        <v>-0.17712193094289885</v>
      </c>
      <c r="R32" s="31">
        <f>THG!R32/THG!$D32-1</f>
        <v>-0.19705846466804899</v>
      </c>
      <c r="S32" s="31">
        <f>THG!S32/THG!$D32-1</f>
        <v>-0.19939906351059433</v>
      </c>
      <c r="T32" s="31">
        <f>THG!T32/THG!$D32-1</f>
        <v>-0.20663816265078527</v>
      </c>
      <c r="U32" s="31">
        <f>THG!U32/THG!$D32-1</f>
        <v>-0.21004391965470581</v>
      </c>
      <c r="V32" s="31">
        <f>THG!V32/THG!$D32-1</f>
        <v>-0.20005326457946671</v>
      </c>
      <c r="W32" s="31">
        <f>THG!W32/THG!$D32-1</f>
        <v>-0.20222520576135916</v>
      </c>
      <c r="X32" s="31">
        <f>THG!X32/THG!$D32-1</f>
        <v>-0.2001364262594334</v>
      </c>
      <c r="Y32" s="31">
        <f>THG!Y32/THG!$D32-1</f>
        <v>-0.19333416410593707</v>
      </c>
      <c r="Z32" s="31">
        <f>THG!Z32/THG!$D32-1</f>
        <v>-0.19078728581082571</v>
      </c>
      <c r="AA32" s="31">
        <f>THG!AA32/THG!$D32-1</f>
        <v>-0.17921386588474231</v>
      </c>
      <c r="AB32" s="31">
        <f>THG!AB32/THG!$D32-1</f>
        <v>-0.16071406459888926</v>
      </c>
      <c r="AC32" s="31">
        <f>THG!AC32/THG!$D32-1</f>
        <v>-0.16316460324426574</v>
      </c>
      <c r="AD32" s="31">
        <f>THG!AD32/THG!$D32-1</f>
        <v>-0.16568395599877861</v>
      </c>
      <c r="AE32" s="31">
        <f>THG!AE32/THG!$D32-1</f>
        <v>-0.18442497867889651</v>
      </c>
      <c r="AF32" s="31">
        <f>THG!AF32/THG!$D32-1</f>
        <v>-0.19495824240639315</v>
      </c>
      <c r="AG32" s="31">
        <f>THG!AG32/THG!$D32-1</f>
        <v>-0.20907233982071738</v>
      </c>
      <c r="AH32" s="31">
        <f>THG!AH32/THG!$D32-1</f>
        <v>-0.21902815876578396</v>
      </c>
      <c r="AI32" s="31">
        <f>THG!AI32/THG!$D32-1</f>
        <v>-0.23624283228838683</v>
      </c>
      <c r="AJ32" s="31">
        <f>THG!AJ32/THG!$D32-1</f>
        <v>-0.2481156065718193</v>
      </c>
      <c r="AK32" s="31">
        <f>THG!AK32/THG!$D32-1</f>
        <v>-0.25919979309069496</v>
      </c>
      <c r="AL32" s="31">
        <f>THG!AL32/THG!$D32-1</f>
        <v>-0.26918922084648844</v>
      </c>
    </row>
    <row r="33" spans="2:38" s="150" customFormat="1" ht="18.75" customHeight="1">
      <c r="B33" s="19" t="s">
        <v>18</v>
      </c>
      <c r="C33" s="159" t="s">
        <v>3</v>
      </c>
      <c r="D33" s="34">
        <f>THG!D33/THG!$D33-1</f>
        <v>0</v>
      </c>
      <c r="E33" s="34">
        <f>THG!E33/THG!$D33-1</f>
        <v>-0.15368752375565153</v>
      </c>
      <c r="F33" s="34">
        <f>THG!F33/THG!$D33-1</f>
        <v>-0.20318251123516928</v>
      </c>
      <c r="G33" s="34">
        <f>THG!G33/THG!$D33-1</f>
        <v>-0.16674629520506035</v>
      </c>
      <c r="H33" s="34">
        <f>THG!H33/THG!$D33-1</f>
        <v>-0.17119979033091137</v>
      </c>
      <c r="I33" s="34">
        <f>THG!I33/THG!$D33-1</f>
        <v>-0.14821157547827313</v>
      </c>
      <c r="J33" s="34">
        <f>THG!J33/THG!$D33-1</f>
        <v>-5.7570163766710314E-2</v>
      </c>
      <c r="K33" s="34">
        <f>THG!K33/THG!$D33-1</f>
        <v>-0.15834695941144317</v>
      </c>
      <c r="L33" s="34">
        <f>THG!L33/THG!$D33-1</f>
        <v>-0.20259960205163352</v>
      </c>
      <c r="M33" s="34">
        <f>THG!M33/THG!$D33-1</f>
        <v>-0.19329880694005752</v>
      </c>
      <c r="N33" s="34">
        <f>THG!N33/THG!$D33-1</f>
        <v>-0.26835132536222073</v>
      </c>
      <c r="O33" s="34">
        <f>THG!O33/THG!$D33-1</f>
        <v>-0.2477651841978844</v>
      </c>
      <c r="P33" s="34">
        <f>THG!P33/THG!$D33-1</f>
        <v>-0.27418093935458865</v>
      </c>
      <c r="Q33" s="34">
        <f>THG!Q33/THG!$D33-1</f>
        <v>-0.30556453061275601</v>
      </c>
      <c r="R33" s="34">
        <f>THG!R33/THG!$D33-1</f>
        <v>-0.3253491006834105</v>
      </c>
      <c r="S33" s="34">
        <f>THG!S33/THG!$D33-1</f>
        <v>-0.34702523158399046</v>
      </c>
      <c r="T33" s="34">
        <f>THG!T33/THG!$D33-1</f>
        <v>-0.31919082682389321</v>
      </c>
      <c r="U33" s="34">
        <f>THG!U33/THG!$D33-1</f>
        <v>-0.37877348565244162</v>
      </c>
      <c r="V33" s="34">
        <f>THG!V33/THG!$D33-1</f>
        <v>-0.33731210681549018</v>
      </c>
      <c r="W33" s="34">
        <f>THG!W33/THG!$D33-1</f>
        <v>-0.37769988630479656</v>
      </c>
      <c r="X33" s="34">
        <f>THG!X33/THG!$D33-1</f>
        <v>-0.33373018286930067</v>
      </c>
      <c r="Y33" s="34">
        <f>THG!Y33/THG!$D33-1</f>
        <v>-0.28814489627912998</v>
      </c>
      <c r="Z33" s="34">
        <f>THG!Z33/THG!$D33-1</f>
        <v>-0.31958428303926434</v>
      </c>
      <c r="AA33" s="34">
        <f>THG!AA33/THG!$D33-1</f>
        <v>-0.31417466182641107</v>
      </c>
      <c r="AB33" s="34">
        <f>THG!AB33/THG!$D33-1</f>
        <v>-0.26960789187732026</v>
      </c>
      <c r="AC33" s="34">
        <f>THG!AC33/THG!$D33-1</f>
        <v>-0.28938943886742041</v>
      </c>
      <c r="AD33" s="34">
        <f>THG!AD33/THG!$D33-1</f>
        <v>-0.27843595074671668</v>
      </c>
      <c r="AE33" s="34">
        <f>THG!AE33/THG!$D33-1</f>
        <v>-0.32605735979517647</v>
      </c>
      <c r="AF33" s="34">
        <f>THG!AF33/THG!$D33-1</f>
        <v>-0.32318429020253403</v>
      </c>
      <c r="AG33" s="34">
        <f>THG!AG33/THG!$D33-1</f>
        <v>-0.32895947005096304</v>
      </c>
      <c r="AH33" s="34">
        <f>THG!AH33/THG!$D33-1</f>
        <v>-0.30557320375257413</v>
      </c>
      <c r="AI33" s="34">
        <f>THG!AI33/THG!$D33-1</f>
        <v>-0.2825130480555087</v>
      </c>
      <c r="AJ33" s="34">
        <f>THG!AJ33/THG!$D33-1</f>
        <v>-0.2950060786749783</v>
      </c>
      <c r="AK33" s="34">
        <f>THG!AK33/THG!$D33-1</f>
        <v>-0.3018188564884362</v>
      </c>
      <c r="AL33" s="34">
        <f>THG!AL33/THG!$D33-1</f>
        <v>-0.27894472620841149</v>
      </c>
    </row>
    <row r="34" spans="2:38" s="150" customFormat="1" ht="18.75" customHeight="1">
      <c r="B34" s="90" t="s">
        <v>30</v>
      </c>
      <c r="C34" s="160" t="s">
        <v>3</v>
      </c>
      <c r="D34" s="92">
        <f>THG!D34/THG!$D34-1</f>
        <v>0</v>
      </c>
      <c r="E34" s="92">
        <f>THG!E34/THG!$D34-1</f>
        <v>-0.10657471989506029</v>
      </c>
      <c r="F34" s="92">
        <f>THG!F34/THG!$D34-1</f>
        <v>-0.12775251724558034</v>
      </c>
      <c r="G34" s="92">
        <f>THG!G34/THG!$D34-1</f>
        <v>-0.12551798358381816</v>
      </c>
      <c r="H34" s="92">
        <f>THG!H34/THG!$D34-1</f>
        <v>-0.11998496320975283</v>
      </c>
      <c r="I34" s="92">
        <f>THG!I34/THG!$D34-1</f>
        <v>-0.11730751415004204</v>
      </c>
      <c r="J34" s="92">
        <f>THG!J34/THG!$D34-1</f>
        <v>-0.11589084282112005</v>
      </c>
      <c r="K34" s="92">
        <f>THG!K34/THG!$D34-1</f>
        <v>-0.14166727929571821</v>
      </c>
      <c r="L34" s="92">
        <f>THG!L34/THG!$D34-1</f>
        <v>-0.14765588054000667</v>
      </c>
      <c r="M34" s="92">
        <f>THG!M34/THG!$D34-1</f>
        <v>-0.15470487552840373</v>
      </c>
      <c r="N34" s="92">
        <f>THG!N34/THG!$D34-1</f>
        <v>-0.16828399276521733</v>
      </c>
      <c r="O34" s="92">
        <f>THG!O34/THG!$D34-1</f>
        <v>-0.15540084281802724</v>
      </c>
      <c r="P34" s="92">
        <f>THG!P34/THG!$D34-1</f>
        <v>-0.18786041916884899</v>
      </c>
      <c r="Q34" s="92">
        <f>THG!Q34/THG!$D34-1</f>
        <v>-0.19743936431998665</v>
      </c>
      <c r="R34" s="92">
        <f>THG!R34/THG!$D34-1</f>
        <v>-0.21938054313465094</v>
      </c>
      <c r="S34" s="92">
        <f>THG!S34/THG!$D34-1</f>
        <v>-0.22464995755836936</v>
      </c>
      <c r="T34" s="92">
        <f>THG!T34/THG!$D34-1</f>
        <v>-0.23983740800249853</v>
      </c>
      <c r="U34" s="92">
        <f>THG!U34/THG!$D34-1</f>
        <v>-0.23666540224091193</v>
      </c>
      <c r="V34" s="92">
        <f>THG!V34/THG!$D34-1</f>
        <v>-0.23050237339917501</v>
      </c>
      <c r="W34" s="92">
        <f>THG!W34/THG!$D34-1</f>
        <v>-0.2302701865969583</v>
      </c>
      <c r="X34" s="92">
        <f>THG!X34/THG!$D34-1</f>
        <v>-0.2351346672809177</v>
      </c>
      <c r="Y34" s="92">
        <f>THG!Y34/THG!$D34-1</f>
        <v>-0.24522813587503223</v>
      </c>
      <c r="Z34" s="92">
        <f>THG!Z34/THG!$D34-1</f>
        <v>-0.24503170027039223</v>
      </c>
      <c r="AA34" s="92">
        <f>THG!AA34/THG!$D34-1</f>
        <v>-0.23580195863246756</v>
      </c>
      <c r="AB34" s="92">
        <f>THG!AB34/THG!$D34-1</f>
        <v>-0.22949901409521201</v>
      </c>
      <c r="AC34" s="92">
        <f>THG!AC34/THG!$D34-1</f>
        <v>-0.23006897711903751</v>
      </c>
      <c r="AD34" s="92">
        <f>THG!AD34/THG!$D34-1</f>
        <v>-0.2377742684184535</v>
      </c>
      <c r="AE34" s="92">
        <f>THG!AE34/THG!$D34-1</f>
        <v>-0.24363047770831847</v>
      </c>
      <c r="AF34" s="92">
        <f>THG!AF34/THG!$D34-1</f>
        <v>-0.25503395146160501</v>
      </c>
      <c r="AG34" s="92">
        <f>THG!AG34/THG!$D34-1</f>
        <v>-0.26343196497327437</v>
      </c>
      <c r="AH34" s="92">
        <f>THG!AH34/THG!$D34-1</f>
        <v>-0.27453947290867031</v>
      </c>
      <c r="AI34" s="92">
        <f>THG!AI34/THG!$D34-1</f>
        <v>-0.28832709530354594</v>
      </c>
      <c r="AJ34" s="92">
        <f>THG!AJ34/THG!$D34-1</f>
        <v>-0.29482742647494964</v>
      </c>
      <c r="AK34" s="92">
        <f>THG!AK34/THG!$D34-1</f>
        <v>-0.29821216744226386</v>
      </c>
      <c r="AL34" s="92">
        <f>THG!AL34/THG!$D34-1</f>
        <v>-0.31852167630849237</v>
      </c>
    </row>
    <row r="35" spans="2:38" s="150" customFormat="1" ht="18.75" customHeight="1">
      <c r="B35" s="19" t="s">
        <v>31</v>
      </c>
      <c r="C35" s="159" t="s">
        <v>3</v>
      </c>
      <c r="D35" s="34">
        <f>THG!D35/THG!$D35-1</f>
        <v>0</v>
      </c>
      <c r="E35" s="34">
        <f>THG!E35/THG!$D35-1</f>
        <v>-0.10682360300586113</v>
      </c>
      <c r="F35" s="34">
        <f>THG!F35/THG!$D35-1</f>
        <v>-0.10551655024275186</v>
      </c>
      <c r="G35" s="34">
        <f>THG!G35/THG!$D35-1</f>
        <v>-9.9748779613110128E-2</v>
      </c>
      <c r="H35" s="34">
        <f>THG!H35/THG!$D35-1</f>
        <v>-9.8130815246123992E-2</v>
      </c>
      <c r="I35" s="34">
        <f>THG!I35/THG!$D35-1</f>
        <v>-9.6684195319660993E-2</v>
      </c>
      <c r="J35" s="34">
        <f>THG!J35/THG!$D35-1</f>
        <v>-8.7135881770196821E-2</v>
      </c>
      <c r="K35" s="34">
        <f>THG!K35/THG!$D35-1</f>
        <v>-0.10225249118017199</v>
      </c>
      <c r="L35" s="34">
        <f>THG!L35/THG!$D35-1</f>
        <v>-9.0487183038019725E-2</v>
      </c>
      <c r="M35" s="34">
        <f>THG!M35/THG!$D35-1</f>
        <v>-9.9053399583714286E-2</v>
      </c>
      <c r="N35" s="34">
        <f>THG!N35/THG!$D35-1</f>
        <v>-0.10239596634932424</v>
      </c>
      <c r="O35" s="34">
        <f>THG!O35/THG!$D35-1</f>
        <v>-8.8817194683004086E-2</v>
      </c>
      <c r="P35" s="34">
        <f>THG!P35/THG!$D35-1</f>
        <v>-0.10923200386859599</v>
      </c>
      <c r="Q35" s="34">
        <f>THG!Q35/THG!$D35-1</f>
        <v>-0.10620148254130135</v>
      </c>
      <c r="R35" s="34">
        <f>THG!R35/THG!$D35-1</f>
        <v>-0.13217219040925254</v>
      </c>
      <c r="S35" s="34">
        <f>THG!S35/THG!$D35-1</f>
        <v>-0.13821074027143043</v>
      </c>
      <c r="T35" s="34">
        <f>THG!T35/THG!$D35-1</f>
        <v>-0.15517102506939384</v>
      </c>
      <c r="U35" s="34">
        <f>THG!U35/THG!$D35-1</f>
        <v>-0.15151848502528342</v>
      </c>
      <c r="V35" s="34">
        <f>THG!V35/THG!$D35-1</f>
        <v>-0.15811692148400125</v>
      </c>
      <c r="W35" s="34">
        <f>THG!W35/THG!$D35-1</f>
        <v>-0.16113308338626964</v>
      </c>
      <c r="X35" s="34">
        <f>THG!X35/THG!$D35-1</f>
        <v>-0.19132733486966558</v>
      </c>
      <c r="Y35" s="34">
        <f>THG!Y35/THG!$D35-1</f>
        <v>-0.19940829150278672</v>
      </c>
      <c r="Z35" s="34">
        <f>THG!Z35/THG!$D35-1</f>
        <v>-0.19190231853080664</v>
      </c>
      <c r="AA35" s="34">
        <f>THG!AA35/THG!$D35-1</f>
        <v>-0.18830582821548869</v>
      </c>
      <c r="AB35" s="34">
        <f>THG!AB35/THG!$D35-1</f>
        <v>-0.17887010289750749</v>
      </c>
      <c r="AC35" s="34">
        <f>THG!AC35/THG!$D35-1</f>
        <v>-0.18276558301244994</v>
      </c>
      <c r="AD35" s="34">
        <f>THG!AD35/THG!$D35-1</f>
        <v>-0.1851250815392339</v>
      </c>
      <c r="AE35" s="34">
        <f>THG!AE35/THG!$D35-1</f>
        <v>-0.18490072874200714</v>
      </c>
      <c r="AF35" s="34">
        <f>THG!AF35/THG!$D35-1</f>
        <v>-0.19613058445019971</v>
      </c>
      <c r="AG35" s="34">
        <f>THG!AG35/THG!$D35-1</f>
        <v>-0.20060424856375036</v>
      </c>
      <c r="AH35" s="34">
        <f>THG!AH35/THG!$D35-1</f>
        <v>-0.21009833396771238</v>
      </c>
      <c r="AI35" s="34">
        <f>THG!AI35/THG!$D35-1</f>
        <v>-0.24371555647797849</v>
      </c>
      <c r="AJ35" s="34">
        <f>THG!AJ35/THG!$D35-1</f>
        <v>-0.27746748663469523</v>
      </c>
      <c r="AK35" s="34">
        <f>THG!AK35/THG!$D35-1</f>
        <v>-0.27973680160370062</v>
      </c>
      <c r="AL35" s="34">
        <f>THG!AL35/THG!$D35-1</f>
        <v>-0.2923891243570903</v>
      </c>
    </row>
    <row r="36" spans="2:38" s="150" customFormat="1" ht="18.75" customHeight="1">
      <c r="B36" s="90" t="s">
        <v>32</v>
      </c>
      <c r="C36" s="160" t="s">
        <v>3</v>
      </c>
      <c r="D36" s="92">
        <f>THG!D36/THG!$D36-1</f>
        <v>0</v>
      </c>
      <c r="E36" s="92">
        <f>THG!E36/THG!$D36-1</f>
        <v>-5.6611969869552747E-2</v>
      </c>
      <c r="F36" s="92">
        <f>THG!F36/THG!$D36-1</f>
        <v>-8.6614523989831049E-2</v>
      </c>
      <c r="G36" s="92">
        <f>THG!G36/THG!$D36-1</f>
        <v>-0.12302421493949744</v>
      </c>
      <c r="H36" s="92">
        <f>THG!H36/THG!$D36-1</f>
        <v>-0.12691778992624436</v>
      </c>
      <c r="I36" s="92">
        <f>THG!I36/THG!$D36-1</f>
        <v>-0.12594280880204667</v>
      </c>
      <c r="J36" s="92">
        <f>THG!J36/THG!$D36-1</f>
        <v>-0.11163634201982364</v>
      </c>
      <c r="K36" s="92">
        <f>THG!K36/THG!$D36-1</f>
        <v>-0.11838188916986569</v>
      </c>
      <c r="L36" s="92">
        <f>THG!L36/THG!$D36-1</f>
        <v>-0.1273402121392192</v>
      </c>
      <c r="M36" s="92">
        <f>THG!M36/THG!$D36-1</f>
        <v>-9.1270131617046113E-2</v>
      </c>
      <c r="N36" s="92">
        <f>THG!N36/THG!$D36-1</f>
        <v>-9.0585209758152208E-2</v>
      </c>
      <c r="O36" s="92">
        <f>THG!O36/THG!$D36-1</f>
        <v>-0.1012323619708968</v>
      </c>
      <c r="P36" s="92">
        <f>THG!P36/THG!$D36-1</f>
        <v>-0.12519970044926243</v>
      </c>
      <c r="Q36" s="92">
        <f>THG!Q36/THG!$D36-1</f>
        <v>-0.1101068862954574</v>
      </c>
      <c r="R36" s="92">
        <f>THG!R36/THG!$D36-1</f>
        <v>-0.1219422601499387</v>
      </c>
      <c r="S36" s="92">
        <f>THG!S36/THG!$D36-1</f>
        <v>-0.11425455039006271</v>
      </c>
      <c r="T36" s="92">
        <f>THG!T36/THG!$D36-1</f>
        <v>-0.12774088073648515</v>
      </c>
      <c r="U36" s="92">
        <f>THG!U36/THG!$D36-1</f>
        <v>-0.12645967410597347</v>
      </c>
      <c r="V36" s="92">
        <f>THG!V36/THG!$D36-1</f>
        <v>-0.1244930266690053</v>
      </c>
      <c r="W36" s="92">
        <f>THG!W36/THG!$D36-1</f>
        <v>-0.116041706531682</v>
      </c>
      <c r="X36" s="92">
        <f>THG!X36/THG!$D36-1</f>
        <v>-0.1171330443327161</v>
      </c>
      <c r="Y36" s="92">
        <f>THG!Y36/THG!$D36-1</f>
        <v>-0.10234201452032976</v>
      </c>
      <c r="Z36" s="92">
        <f>THG!Z36/THG!$D36-1</f>
        <v>-8.5504309295160397E-2</v>
      </c>
      <c r="AA36" s="92">
        <f>THG!AA36/THG!$D36-1</f>
        <v>-7.7820028002619446E-2</v>
      </c>
      <c r="AB36" s="92">
        <f>THG!AB36/THG!$D36-1</f>
        <v>-5.4001932014075993E-2</v>
      </c>
      <c r="AC36" s="92">
        <f>THG!AC36/THG!$D36-1</f>
        <v>-5.2659615750813904E-2</v>
      </c>
      <c r="AD36" s="92">
        <f>THG!AD36/THG!$D36-1</f>
        <v>-5.1951890779344256E-2</v>
      </c>
      <c r="AE36" s="92">
        <f>THG!AE36/THG!$D36-1</f>
        <v>-8.8175535631590196E-2</v>
      </c>
      <c r="AF36" s="92">
        <f>THG!AF36/THG!$D36-1</f>
        <v>-0.10308950602526212</v>
      </c>
      <c r="AG36" s="92">
        <f>THG!AG36/THG!$D36-1</f>
        <v>-0.13294993308000325</v>
      </c>
      <c r="AH36" s="92">
        <f>THG!AH36/THG!$D36-1</f>
        <v>-0.15660742999124289</v>
      </c>
      <c r="AI36" s="92">
        <f>THG!AI36/THG!$D36-1</f>
        <v>-0.18852598130985332</v>
      </c>
      <c r="AJ36" s="92">
        <f>THG!AJ36/THG!$D36-1</f>
        <v>-0.20192160826794003</v>
      </c>
      <c r="AK36" s="92">
        <f>THG!AK36/THG!$D36-1</f>
        <v>-0.2347897671798036</v>
      </c>
      <c r="AL36" s="92">
        <f>THG!AL36/THG!$D36-1</f>
        <v>-0.23680447913023916</v>
      </c>
    </row>
    <row r="37" spans="2:38" s="150" customFormat="1" ht="18.75" customHeight="1">
      <c r="B37" s="19" t="s">
        <v>33</v>
      </c>
      <c r="C37" s="159" t="s">
        <v>3</v>
      </c>
      <c r="D37" s="34">
        <f>THG!D37/THG!$D37-1</f>
        <v>0</v>
      </c>
      <c r="E37" s="34">
        <f>THG!E37/THG!$D37-1</f>
        <v>-9.7014630720982931E-2</v>
      </c>
      <c r="F37" s="34">
        <f>THG!F37/THG!$D37-1</f>
        <v>-0.20501937567957695</v>
      </c>
      <c r="G37" s="34">
        <f>THG!G37/THG!$D37-1</f>
        <v>-0.3339881070819346</v>
      </c>
      <c r="H37" s="34">
        <f>THG!H37/THG!$D37-1</f>
        <v>-0.39786264964419382</v>
      </c>
      <c r="I37" s="34">
        <f>THG!I37/THG!$D37-1</f>
        <v>-0.41830118622372525</v>
      </c>
      <c r="J37" s="34">
        <f>THG!J37/THG!$D37-1</f>
        <v>-0.37258563647219933</v>
      </c>
      <c r="K37" s="34">
        <f>THG!K37/THG!$D37-1</f>
        <v>-0.32723550326159823</v>
      </c>
      <c r="L37" s="34">
        <f>THG!L37/THG!$D37-1</f>
        <v>-0.27807667346676745</v>
      </c>
      <c r="M37" s="34">
        <f>THG!M37/THG!$D37-1</f>
        <v>-0.22048142165656526</v>
      </c>
      <c r="N37" s="34">
        <f>THG!N37/THG!$D37-1</f>
        <v>-0.22937098845935522</v>
      </c>
      <c r="O37" s="34">
        <f>THG!O37/THG!$D37-1</f>
        <v>-0.22987332930182069</v>
      </c>
      <c r="P37" s="34">
        <f>THG!P37/THG!$D37-1</f>
        <v>-0.27631286936352484</v>
      </c>
      <c r="Q37" s="34">
        <f>THG!Q37/THG!$D37-1</f>
        <v>-0.28716675464155805</v>
      </c>
      <c r="R37" s="34">
        <f>THG!R37/THG!$D37-1</f>
        <v>-0.32615214353026589</v>
      </c>
      <c r="S37" s="34">
        <f>THG!S37/THG!$D37-1</f>
        <v>-0.35113318172687735</v>
      </c>
      <c r="T37" s="34">
        <f>THG!T37/THG!$D37-1</f>
        <v>-0.34614034672545713</v>
      </c>
      <c r="U37" s="34">
        <f>THG!U37/THG!$D37-1</f>
        <v>-0.32857897469365172</v>
      </c>
      <c r="V37" s="34">
        <f>THG!V37/THG!$D37-1</f>
        <v>-0.29786042626536946</v>
      </c>
      <c r="W37" s="34">
        <f>THG!W37/THG!$D37-1</f>
        <v>-0.30819935967707723</v>
      </c>
      <c r="X37" s="34">
        <f>THG!X37/THG!$D37-1</f>
        <v>-0.29591164476042453</v>
      </c>
      <c r="Y37" s="34">
        <f>THG!Y37/THG!$D37-1</f>
        <v>-0.2757921505669656</v>
      </c>
      <c r="Z37" s="34">
        <f>THG!Z37/THG!$D37-1</f>
        <v>-0.23087383795100735</v>
      </c>
      <c r="AA37" s="34">
        <f>THG!AA37/THG!$D37-1</f>
        <v>-0.17067157187834492</v>
      </c>
      <c r="AB37" s="34">
        <f>THG!AB37/THG!$D37-1</f>
        <v>-0.12852363147623236</v>
      </c>
      <c r="AC37" s="34">
        <f>THG!AC37/THG!$D37-1</f>
        <v>-0.13373590105115107</v>
      </c>
      <c r="AD37" s="34">
        <f>THG!AD37/THG!$D37-1</f>
        <v>-0.14465306802516187</v>
      </c>
      <c r="AE37" s="34">
        <f>THG!AE37/THG!$D37-1</f>
        <v>-0.11926213567989064</v>
      </c>
      <c r="AF37" s="34">
        <f>THG!AF37/THG!$D37-1</f>
        <v>-6.9350030590751066E-2</v>
      </c>
      <c r="AG37" s="34">
        <f>THG!AG37/THG!$D37-1</f>
        <v>-7.3259252455445845E-2</v>
      </c>
      <c r="AH37" s="34">
        <f>THG!AH37/THG!$D37-1</f>
        <v>-8.6469003538096612E-2</v>
      </c>
      <c r="AI37" s="34">
        <f>THG!AI37/THG!$D37-1</f>
        <v>-9.8815190108390905E-2</v>
      </c>
      <c r="AJ37" s="34">
        <f>THG!AJ37/THG!$D37-1</f>
        <v>-9.335798996998701E-2</v>
      </c>
      <c r="AK37" s="34">
        <f>THG!AK37/THG!$D37-1</f>
        <v>-0.10903545894401023</v>
      </c>
      <c r="AL37" s="34">
        <f>THG!AL37/THG!$D37-1</f>
        <v>-0.1663689778689712</v>
      </c>
    </row>
    <row r="38" spans="2:38" s="150" customFormat="1" ht="18.75" customHeight="1">
      <c r="B38" s="90" t="s">
        <v>34</v>
      </c>
      <c r="C38" s="160" t="s">
        <v>3</v>
      </c>
      <c r="D38" s="92">
        <f>THG!D38/THG!$D38-1</f>
        <v>0</v>
      </c>
      <c r="E38" s="92">
        <f>THG!E38/THG!$D38-1</f>
        <v>-8.9396044014122045E-2</v>
      </c>
      <c r="F38" s="92">
        <f>THG!F38/THG!$D38-1</f>
        <v>-0.10924658444288793</v>
      </c>
      <c r="G38" s="92">
        <f>THG!G38/THG!$D38-1</f>
        <v>-0.12054614893067661</v>
      </c>
      <c r="H38" s="92">
        <f>THG!H38/THG!$D38-1</f>
        <v>-6.5469211960165863E-2</v>
      </c>
      <c r="I38" s="92">
        <f>THG!I38/THG!$D38-1</f>
        <v>-4.4718261957106931E-2</v>
      </c>
      <c r="J38" s="92">
        <f>THG!J38/THG!$D38-1</f>
        <v>9.9415394498123533E-3</v>
      </c>
      <c r="K38" s="92">
        <f>THG!K38/THG!$D38-1</f>
        <v>3.7095744816253662E-2</v>
      </c>
      <c r="L38" s="92">
        <f>THG!L38/THG!$D38-1</f>
        <v>9.188868203842282E-2</v>
      </c>
      <c r="M38" s="92">
        <f>THG!M38/THG!$D38-1</f>
        <v>0.14908187927392436</v>
      </c>
      <c r="N38" s="92">
        <f>THG!N38/THG!$D38-1</f>
        <v>0.23569422409064189</v>
      </c>
      <c r="O38" s="92">
        <f>THG!O38/THG!$D38-1</f>
        <v>0.29512017080792674</v>
      </c>
      <c r="P38" s="92">
        <f>THG!P38/THG!$D38-1</f>
        <v>0.33324278504925253</v>
      </c>
      <c r="Q38" s="92">
        <f>THG!Q38/THG!$D38-1</f>
        <v>0.35438406317415949</v>
      </c>
      <c r="R38" s="92">
        <f>THG!R38/THG!$D38-1</f>
        <v>0.32148374715778605</v>
      </c>
      <c r="S38" s="92">
        <f>THG!S38/THG!$D38-1</f>
        <v>0.33561958286005811</v>
      </c>
      <c r="T38" s="92">
        <f>THG!T38/THG!$D38-1</f>
        <v>0.31445047734378107</v>
      </c>
      <c r="U38" s="92">
        <f>THG!U38/THG!$D38-1</f>
        <v>0.34909083185273881</v>
      </c>
      <c r="V38" s="92">
        <f>THG!V38/THG!$D38-1</f>
        <v>0.44715065539479548</v>
      </c>
      <c r="W38" s="92">
        <f>THG!W38/THG!$D38-1</f>
        <v>0.40991415676625742</v>
      </c>
      <c r="X38" s="92">
        <f>THG!X38/THG!$D38-1</f>
        <v>0.48074393123712422</v>
      </c>
      <c r="Y38" s="92">
        <f>THG!Y38/THG!$D38-1</f>
        <v>0.36256699160647932</v>
      </c>
      <c r="Z38" s="92">
        <f>THG!Z38/THG!$D38-1</f>
        <v>0.43731117094955785</v>
      </c>
      <c r="AA38" s="92">
        <f>THG!AA38/THG!$D38-1</f>
        <v>0.40115394356786149</v>
      </c>
      <c r="AB38" s="92">
        <f>THG!AB38/THG!$D38-1</f>
        <v>0.56189335145367258</v>
      </c>
      <c r="AC38" s="92">
        <f>THG!AC38/THG!$D38-1</f>
        <v>0.64895639361559443</v>
      </c>
      <c r="AD38" s="92">
        <f>THG!AD38/THG!$D38-1</f>
        <v>0.69822147458828243</v>
      </c>
      <c r="AE38" s="92">
        <f>THG!AE38/THG!$D38-1</f>
        <v>0.49910463968052499</v>
      </c>
      <c r="AF38" s="92">
        <f>THG!AF38/THG!$D38-1</f>
        <v>0.26094524516345752</v>
      </c>
      <c r="AG38" s="92">
        <f>THG!AG38/THG!$D38-1</f>
        <v>3.698061532859076E-2</v>
      </c>
      <c r="AH38" s="92">
        <f>THG!AH38/THG!$D38-1</f>
        <v>-9.7359204010521672E-2</v>
      </c>
      <c r="AI38" s="92">
        <f>THG!AI38/THG!$D38-1</f>
        <v>-0.17229544784322259</v>
      </c>
      <c r="AJ38" s="92">
        <f>THG!AJ38/THG!$D38-1</f>
        <v>-0.2354142705295228</v>
      </c>
      <c r="AK38" s="92">
        <f>THG!AK38/THG!$D38-1</f>
        <v>-0.24982183373723443</v>
      </c>
      <c r="AL38" s="92">
        <f>THG!AL38/THG!$D38-1</f>
        <v>-0.31206763607171839</v>
      </c>
    </row>
    <row r="39" spans="2:38" s="150" customFormat="1" ht="18.75" customHeight="1">
      <c r="B39" s="19" t="s">
        <v>35</v>
      </c>
      <c r="C39" s="159" t="s">
        <v>3</v>
      </c>
      <c r="D39" s="34">
        <f>THG!D39/THG!$D39-1</f>
        <v>0</v>
      </c>
      <c r="E39" s="34">
        <f>THG!E39/THG!$D39-1</f>
        <v>-7.2095561175770762E-2</v>
      </c>
      <c r="F39" s="34">
        <f>THG!F39/THG!$D39-1</f>
        <v>-0.12072140554483535</v>
      </c>
      <c r="G39" s="34">
        <f>THG!G39/THG!$D39-1</f>
        <v>-0.18659453120941905</v>
      </c>
      <c r="H39" s="34">
        <f>THG!H39/THG!$D39-1</f>
        <v>-0.21228595595577815</v>
      </c>
      <c r="I39" s="34">
        <f>THG!I39/THG!$D39-1</f>
        <v>-0.23695321270077885</v>
      </c>
      <c r="J39" s="34">
        <f>THG!J39/THG!$D39-1</f>
        <v>-0.23474335480039732</v>
      </c>
      <c r="K39" s="34">
        <f>THG!K39/THG!$D39-1</f>
        <v>-0.26056223524291144</v>
      </c>
      <c r="L39" s="34">
        <f>THG!L39/THG!$D39-1</f>
        <v>-0.27396394653156897</v>
      </c>
      <c r="M39" s="34">
        <f>THG!M39/THG!$D39-1</f>
        <v>-0.26028904931141372</v>
      </c>
      <c r="N39" s="34">
        <f>THG!N39/THG!$D39-1</f>
        <v>-0.28174986961965698</v>
      </c>
      <c r="O39" s="34">
        <f>THG!O39/THG!$D39-1</f>
        <v>-0.31625318960116289</v>
      </c>
      <c r="P39" s="34">
        <f>THG!P39/THG!$D39-1</f>
        <v>-0.37349601595840565</v>
      </c>
      <c r="Q39" s="34">
        <f>THG!Q39/THG!$D39-1</f>
        <v>-0.38844643108690091</v>
      </c>
      <c r="R39" s="34">
        <f>THG!R39/THG!$D39-1</f>
        <v>-0.39312568587490804</v>
      </c>
      <c r="S39" s="34">
        <f>THG!S39/THG!$D39-1</f>
        <v>-0.39752395621896097</v>
      </c>
      <c r="T39" s="34">
        <f>THG!T39/THG!$D39-1</f>
        <v>-0.4401741167827562</v>
      </c>
      <c r="U39" s="34">
        <f>THG!U39/THG!$D39-1</f>
        <v>-0.44575529969308136</v>
      </c>
      <c r="V39" s="34">
        <f>THG!V39/THG!$D39-1</f>
        <v>-0.4892169762852504</v>
      </c>
      <c r="W39" s="34">
        <f>THG!W39/THG!$D39-1</f>
        <v>-0.47640257846814071</v>
      </c>
      <c r="X39" s="34">
        <f>THG!X39/THG!$D39-1</f>
        <v>-0.49605564340481823</v>
      </c>
      <c r="Y39" s="34">
        <f>THG!Y39/THG!$D39-1</f>
        <v>-0.48260421768751338</v>
      </c>
      <c r="Z39" s="34">
        <f>THG!Z39/THG!$D39-1</f>
        <v>-0.50256458639041779</v>
      </c>
      <c r="AA39" s="34">
        <f>THG!AA39/THG!$D39-1</f>
        <v>-0.5292595630022936</v>
      </c>
      <c r="AB39" s="34">
        <f>THG!AB39/THG!$D39-1</f>
        <v>-0.53722338606237185</v>
      </c>
      <c r="AC39" s="34">
        <f>THG!AC39/THG!$D39-1</f>
        <v>-0.54809648164349412</v>
      </c>
      <c r="AD39" s="34">
        <f>THG!AD39/THG!$D39-1</f>
        <v>-0.5578073792334779</v>
      </c>
      <c r="AE39" s="34">
        <f>THG!AE39/THG!$D39-1</f>
        <v>-0.58264732289172294</v>
      </c>
      <c r="AF39" s="34">
        <f>THG!AF39/THG!$D39-1</f>
        <v>-0.60287965910283392</v>
      </c>
      <c r="AG39" s="34">
        <f>THG!AG39/THG!$D39-1</f>
        <v>-0.61951500563922668</v>
      </c>
      <c r="AH39" s="34">
        <f>THG!AH39/THG!$D39-1</f>
        <v>-0.63667259805066401</v>
      </c>
      <c r="AI39" s="34">
        <f>THG!AI39/THG!$D39-1</f>
        <v>-0.65609122498527839</v>
      </c>
      <c r="AJ39" s="34">
        <f>THG!AJ39/THG!$D39-1</f>
        <v>-0.69148258228779225</v>
      </c>
      <c r="AK39" s="34">
        <f>THG!AK39/THG!$D39-1</f>
        <v>-0.71861451023098877</v>
      </c>
      <c r="AL39" s="34">
        <f>THG!AL39/THG!$D39-1</f>
        <v>-0.71631692085410203</v>
      </c>
    </row>
    <row r="40" spans="2:38" s="150" customFormat="1" ht="18.75" customHeight="1">
      <c r="B40" s="90" t="s">
        <v>36</v>
      </c>
      <c r="C40" s="160" t="s">
        <v>3</v>
      </c>
      <c r="D40" s="92">
        <f>THG!D40/THG!$D40-1</f>
        <v>0</v>
      </c>
      <c r="E40" s="92">
        <f>THG!E40/THG!$D40-1</f>
        <v>1.4178004275999192</v>
      </c>
      <c r="F40" s="92">
        <f>THG!F40/THG!$D40-1</f>
        <v>2.2565684962878394</v>
      </c>
      <c r="G40" s="92">
        <f>THG!G40/THG!$D40-1</f>
        <v>3.2286904980401969</v>
      </c>
      <c r="H40" s="92">
        <f>THG!H40/THG!$D40-1</f>
        <v>4.1919421742717198</v>
      </c>
      <c r="I40" s="92">
        <f>THG!I40/THG!$D40-1</f>
        <v>11.572025533314777</v>
      </c>
      <c r="J40" s="92">
        <f>THG!J40/THG!$D40-1</f>
        <v>19.858338227415587</v>
      </c>
      <c r="K40" s="92">
        <f>THG!K40/THG!$D40-1</f>
        <v>25.300179898871519</v>
      </c>
      <c r="L40" s="92">
        <f>THG!L40/THG!$D40-1</f>
        <v>58.249003160887909</v>
      </c>
      <c r="M40" s="92">
        <f>THG!M40/THG!$D40-1</f>
        <v>66.205847437301642</v>
      </c>
      <c r="N40" s="92">
        <f>THG!N40/THG!$D40-1</f>
        <v>105.48654086106704</v>
      </c>
      <c r="O40" s="92">
        <f>THG!O40/THG!$D40-1</f>
        <v>149.83525538218123</v>
      </c>
      <c r="P40" s="92">
        <f>THG!P40/THG!$D40-1</f>
        <v>215.4064459097612</v>
      </c>
      <c r="Q40" s="92">
        <f>THG!Q40/THG!$D40-1</f>
        <v>254.05651730157462</v>
      </c>
      <c r="R40" s="92">
        <f>THG!R40/THG!$D40-1</f>
        <v>328.02285408830141</v>
      </c>
      <c r="S40" s="92">
        <f>THG!S40/THG!$D40-1</f>
        <v>869.40307813374193</v>
      </c>
      <c r="T40" s="92">
        <f>THG!T40/THG!$D40-1</f>
        <v>1188.053679055093</v>
      </c>
      <c r="U40" s="92">
        <f>THG!U40/THG!$D40-1</f>
        <v>1578.1787122809064</v>
      </c>
      <c r="V40" s="92">
        <f>THG!V40/THG!$D40-1</f>
        <v>1788.2479741926638</v>
      </c>
      <c r="W40" s="92">
        <f>THG!W40/THG!$D40-1</f>
        <v>2228.1102162489619</v>
      </c>
      <c r="X40" s="92">
        <f>THG!X40/THG!$D40-1</f>
        <v>2720.5550692126985</v>
      </c>
      <c r="Y40" s="92">
        <f>THG!Y40/THG!$D40-1</f>
        <v>3288.1771387389413</v>
      </c>
      <c r="Z40" s="92">
        <f>THG!Z40/THG!$D40-1</f>
        <v>3338.8986315958559</v>
      </c>
      <c r="AA40" s="92">
        <f>THG!AA40/THG!$D40-1</f>
        <v>3994.2677489911653</v>
      </c>
      <c r="AB40" s="92">
        <f>THG!AB40/THG!$D40-1</f>
        <v>4126.2273611593791</v>
      </c>
      <c r="AC40" s="92">
        <f>THG!AC40/THG!$D40-1</f>
        <v>4229.8945119581695</v>
      </c>
      <c r="AD40" s="92">
        <f>THG!AD40/THG!$D40-1</f>
        <v>4151.6625640250495</v>
      </c>
      <c r="AE40" s="92">
        <f>THG!AE40/THG!$D40-1</f>
        <v>4033.0809639212266</v>
      </c>
      <c r="AF40" s="92">
        <f>THG!AF40/THG!$D40-1</f>
        <v>3920.6154202026578</v>
      </c>
      <c r="AG40" s="92">
        <f>THG!AG40/THG!$D40-1</f>
        <v>3815.2903592475623</v>
      </c>
      <c r="AH40" s="92">
        <f>THG!AH40/THG!$D40-1</f>
        <v>3789.0718862027306</v>
      </c>
      <c r="AI40" s="92">
        <f>THG!AI40/THG!$D40-1</f>
        <v>3606.8505085236243</v>
      </c>
      <c r="AJ40" s="92">
        <f>THG!AJ40/THG!$D40-1</f>
        <v>3890.8838200698738</v>
      </c>
      <c r="AK40" s="92">
        <f>THG!AK40/THG!$D40-1</f>
        <v>3890.8838200698738</v>
      </c>
      <c r="AL40" s="92">
        <f>THG!AL40/THG!$D40-1</f>
        <v>3890.8838200698738</v>
      </c>
    </row>
    <row r="41" spans="2:38" s="150" customFormat="1" ht="18.75" customHeight="1">
      <c r="B41" s="19"/>
      <c r="C41" s="159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</row>
    <row r="42" spans="2:38" s="10" customFormat="1" ht="18.75" customHeight="1">
      <c r="B42" s="153" t="s">
        <v>16</v>
      </c>
      <c r="C42" s="22" t="s">
        <v>3</v>
      </c>
      <c r="D42" s="31">
        <f>THG!D42/THG!$D42-1</f>
        <v>0</v>
      </c>
      <c r="E42" s="31">
        <f>THG!E42/THG!$D42-1</f>
        <v>3.721229730008635E-2</v>
      </c>
      <c r="F42" s="31">
        <f>THG!F42/THG!$D42-1</f>
        <v>5.1512246800135664E-2</v>
      </c>
      <c r="G42" s="31">
        <f>THG!G42/THG!$D42-1</f>
        <v>4.4774417310311732E-2</v>
      </c>
      <c r="H42" s="31">
        <f>THG!H42/THG!$D42-1</f>
        <v>1.881121073754044E-2</v>
      </c>
      <c r="I42" s="31">
        <f>THG!I42/THG!$D42-1</f>
        <v>-1.1685970109501342E-2</v>
      </c>
      <c r="J42" s="31">
        <f>THG!J42/THG!$D42-1</f>
        <v>-5.4889846480799975E-2</v>
      </c>
      <c r="K42" s="31">
        <f>THG!K42/THG!$D42-1</f>
        <v>-0.13443923745224029</v>
      </c>
      <c r="L42" s="31">
        <f>THG!L42/THG!$D42-1</f>
        <v>-0.19535085436967348</v>
      </c>
      <c r="M42" s="31">
        <f>THG!M42/THG!$D42-1</f>
        <v>-0.24315620951375305</v>
      </c>
      <c r="N42" s="31">
        <f>THG!N42/THG!$D42-1</f>
        <v>-0.28827167644471352</v>
      </c>
      <c r="O42" s="31">
        <f>THG!O42/THG!$D42-1</f>
        <v>-0.33649380987057209</v>
      </c>
      <c r="P42" s="31">
        <f>THG!P42/THG!$D42-1</f>
        <v>-0.37790828268742238</v>
      </c>
      <c r="Q42" s="31">
        <f>THG!Q42/THG!$D42-1</f>
        <v>-0.42088692032762998</v>
      </c>
      <c r="R42" s="31">
        <f>THG!R42/THG!$D42-1</f>
        <v>-0.482813240625238</v>
      </c>
      <c r="S42" s="31">
        <f>THG!S42/THG!$D42-1</f>
        <v>-0.52273022944012348</v>
      </c>
      <c r="T42" s="31">
        <f>THG!T42/THG!$D42-1</f>
        <v>-0.57260597272116576</v>
      </c>
      <c r="U42" s="31">
        <f>THG!U42/THG!$D42-1</f>
        <v>-0.60922556611553125</v>
      </c>
      <c r="V42" s="31">
        <f>THG!V42/THG!$D42-1</f>
        <v>-0.64285930632580057</v>
      </c>
      <c r="W42" s="31">
        <f>THG!W42/THG!$D42-1</f>
        <v>-0.67640383345595489</v>
      </c>
      <c r="X42" s="31">
        <f>THG!X42/THG!$D42-1</f>
        <v>-0.70657302743779371</v>
      </c>
      <c r="Y42" s="31">
        <f>THG!Y42/THG!$D42-1</f>
        <v>-0.72781576063620423</v>
      </c>
      <c r="Z42" s="31">
        <f>THG!Z42/THG!$D42-1</f>
        <v>-0.74769191796324841</v>
      </c>
      <c r="AA42" s="31">
        <f>THG!AA42/THG!$D42-1</f>
        <v>-0.76684278618571111</v>
      </c>
      <c r="AB42" s="31">
        <f>THG!AB42/THG!$D42-1</f>
        <v>-0.78189463118633418</v>
      </c>
      <c r="AC42" s="31">
        <f>THG!AC42/THG!$D42-1</f>
        <v>-0.79678858922245954</v>
      </c>
      <c r="AD42" s="31">
        <f>THG!AD42/THG!$D42-1</f>
        <v>-0.80976326838145818</v>
      </c>
      <c r="AE42" s="31">
        <f>THG!AE42/THG!$D42-1</f>
        <v>-0.81887390288433137</v>
      </c>
      <c r="AF42" s="31">
        <f>THG!AF42/THG!$D42-1</f>
        <v>-0.82836968650819109</v>
      </c>
      <c r="AG42" s="31">
        <f>THG!AG42/THG!$D42-1</f>
        <v>-0.84100383727934847</v>
      </c>
      <c r="AH42" s="31">
        <f>THG!AH42/THG!$D42-1</f>
        <v>-0.85267357966612645</v>
      </c>
      <c r="AI42" s="31">
        <f>THG!AI42/THG!$D42-1</f>
        <v>-0.85763161485144668</v>
      </c>
      <c r="AJ42" s="31">
        <f>THG!AJ42/THG!$D42-1</f>
        <v>-0.86402922748596067</v>
      </c>
      <c r="AK42" s="31">
        <f>THG!AK42/THG!$D42-1</f>
        <v>-0.86787013773366972</v>
      </c>
      <c r="AL42" s="31">
        <f>THG!AL42/THG!$D42-1</f>
        <v>-0.87110765081195407</v>
      </c>
    </row>
    <row r="43" spans="2:38" s="150" customFormat="1" ht="18.75" customHeight="1">
      <c r="B43" s="19" t="s">
        <v>19</v>
      </c>
      <c r="C43" s="159" t="s">
        <v>3</v>
      </c>
      <c r="D43" s="34">
        <f>THG!D43/THG!$D43-1</f>
        <v>0</v>
      </c>
      <c r="E43" s="34">
        <f>THG!E43/THG!$D43-1</f>
        <v>5.7305088841859808E-2</v>
      </c>
      <c r="F43" s="34">
        <f>THG!F43/THG!$D43-1</f>
        <v>8.2730852943590172E-2</v>
      </c>
      <c r="G43" s="34">
        <f>THG!G43/THG!$D43-1</f>
        <v>7.9668950106869252E-2</v>
      </c>
      <c r="H43" s="34">
        <f>THG!H43/THG!$D43-1</f>
        <v>5.4356115787658865E-2</v>
      </c>
      <c r="I43" s="34">
        <f>THG!I43/THG!$D43-1</f>
        <v>1.7905393451126628E-2</v>
      </c>
      <c r="J43" s="34">
        <f>THG!J43/THG!$D43-1</f>
        <v>-3.0416507623889699E-2</v>
      </c>
      <c r="K43" s="34">
        <f>THG!K43/THG!$D43-1</f>
        <v>-0.11828566567213183</v>
      </c>
      <c r="L43" s="34">
        <f>THG!L43/THG!$D43-1</f>
        <v>-0.18547662767577711</v>
      </c>
      <c r="M43" s="34">
        <f>THG!M43/THG!$D43-1</f>
        <v>-0.24087621465391917</v>
      </c>
      <c r="N43" s="34">
        <f>THG!N43/THG!$D43-1</f>
        <v>-0.2936091530341598</v>
      </c>
      <c r="O43" s="34">
        <f>THG!O43/THG!$D43-1</f>
        <v>-0.34773715066112865</v>
      </c>
      <c r="P43" s="34">
        <f>THG!P43/THG!$D43-1</f>
        <v>-0.39664854520089832</v>
      </c>
      <c r="Q43" s="34">
        <f>THG!Q43/THG!$D43-1</f>
        <v>-0.444272540219942</v>
      </c>
      <c r="R43" s="34">
        <f>THG!R43/THG!$D43-1</f>
        <v>-0.51349623830894431</v>
      </c>
      <c r="S43" s="34">
        <f>THG!S43/THG!$D43-1</f>
        <v>-0.56009558376792479</v>
      </c>
      <c r="T43" s="34">
        <f>THG!T43/THG!$D43-1</f>
        <v>-0.60982233133748776</v>
      </c>
      <c r="U43" s="34">
        <f>THG!U43/THG!$D43-1</f>
        <v>-0.65127659590486497</v>
      </c>
      <c r="V43" s="34">
        <f>THG!V43/THG!$D43-1</f>
        <v>-0.68773258829791484</v>
      </c>
      <c r="W43" s="34">
        <f>THG!W43/THG!$D43-1</f>
        <v>-0.72487218230781791</v>
      </c>
      <c r="X43" s="34">
        <f>THG!X43/THG!$D43-1</f>
        <v>-0.75759923328206324</v>
      </c>
      <c r="Y43" s="34">
        <f>THG!Y43/THG!$D43-1</f>
        <v>-0.7830799565446197</v>
      </c>
      <c r="Z43" s="34">
        <f>THG!Z43/THG!$D43-1</f>
        <v>-0.80551232854435773</v>
      </c>
      <c r="AA43" s="34">
        <f>THG!AA43/THG!$D43-1</f>
        <v>-0.82600080255432107</v>
      </c>
      <c r="AB43" s="34">
        <f>THG!AB43/THG!$D43-1</f>
        <v>-0.84414033708787217</v>
      </c>
      <c r="AC43" s="34">
        <f>THG!AC43/THG!$D43-1</f>
        <v>-0.86040147290551017</v>
      </c>
      <c r="AD43" s="34">
        <f>THG!AD43/THG!$D43-1</f>
        <v>-0.87477743422028387</v>
      </c>
      <c r="AE43" s="34">
        <f>THG!AE43/THG!$D43-1</f>
        <v>-0.88480785750369473</v>
      </c>
      <c r="AF43" s="34">
        <f>THG!AF43/THG!$D43-1</f>
        <v>-0.89393785398781411</v>
      </c>
      <c r="AG43" s="34">
        <f>THG!AG43/THG!$D43-1</f>
        <v>-0.90786209617250857</v>
      </c>
      <c r="AH43" s="34">
        <f>THG!AH43/THG!$D43-1</f>
        <v>-0.92005926554986639</v>
      </c>
      <c r="AI43" s="34">
        <f>THG!AI43/THG!$D43-1</f>
        <v>-0.92779194419160715</v>
      </c>
      <c r="AJ43" s="34">
        <f>THG!AJ43/THG!$D43-1</f>
        <v>-0.93461094560624092</v>
      </c>
      <c r="AK43" s="34">
        <f>THG!AK43/THG!$D43-1</f>
        <v>-0.9396328577483759</v>
      </c>
      <c r="AL43" s="34">
        <f>THG!AL43/THG!$D43-1</f>
        <v>-0.94427517524820082</v>
      </c>
    </row>
    <row r="44" spans="2:38" s="150" customFormat="1" ht="18.75" customHeight="1">
      <c r="B44" s="90" t="s">
        <v>74</v>
      </c>
      <c r="C44" s="160" t="s">
        <v>3</v>
      </c>
      <c r="D44" s="92">
        <f>THG!D44/THG!$D44-1</f>
        <v>0</v>
      </c>
      <c r="E44" s="92">
        <f>THG!E44/THG!$D44-1</f>
        <v>0.19405940594059401</v>
      </c>
      <c r="F44" s="92">
        <f>THG!F44/THG!$D44-1</f>
        <v>0.38811881188118846</v>
      </c>
      <c r="G44" s="92">
        <f>THG!G44/THG!$D44-1</f>
        <v>0.58217821782178247</v>
      </c>
      <c r="H44" s="92">
        <f>THG!H44/THG!$D44-1</f>
        <v>1.4968099009900993</v>
      </c>
      <c r="I44" s="92">
        <f>THG!I44/THG!$D44-1</f>
        <v>2.4114409240924082</v>
      </c>
      <c r="J44" s="92">
        <f>THG!J44/THG!$D44-1</f>
        <v>3.326072607260727</v>
      </c>
      <c r="K44" s="92">
        <f>THG!K44/THG!$D44-1</f>
        <v>3.7617161716171621</v>
      </c>
      <c r="L44" s="92">
        <f>THG!L44/THG!$D44-1</f>
        <v>4.2472221854148628</v>
      </c>
      <c r="M44" s="92">
        <f>THG!M44/THG!$D44-1</f>
        <v>5.0879739214162862</v>
      </c>
      <c r="N44" s="92">
        <f>THG!N44/THG!$D44-1</f>
        <v>6.0063171725623281</v>
      </c>
      <c r="O44" s="92">
        <f>THG!O44/THG!$D44-1</f>
        <v>6.1629721341090704</v>
      </c>
      <c r="P44" s="92">
        <f>THG!P44/THG!$D44-1</f>
        <v>7.5647528894884317</v>
      </c>
      <c r="Q44" s="92">
        <f>THG!Q44/THG!$D44-1</f>
        <v>7.6476866912618249</v>
      </c>
      <c r="R44" s="92">
        <f>THG!R44/THG!$D44-1</f>
        <v>7.8370601907215729</v>
      </c>
      <c r="S44" s="92">
        <f>THG!S44/THG!$D44-1</f>
        <v>7.7452207238085133</v>
      </c>
      <c r="T44" s="92">
        <f>THG!T44/THG!$D44-1</f>
        <v>7.9134993651362855</v>
      </c>
      <c r="U44" s="92">
        <f>THG!U44/THG!$D44-1</f>
        <v>8.5378655126104732</v>
      </c>
      <c r="V44" s="92">
        <f>THG!V44/THG!$D44-1</f>
        <v>8.3994787877982997</v>
      </c>
      <c r="W44" s="92">
        <f>THG!W44/THG!$D44-1</f>
        <v>8.6470324394899976</v>
      </c>
      <c r="X44" s="92">
        <f>THG!X44/THG!$D44-1</f>
        <v>8.5860147420433357</v>
      </c>
      <c r="Y44" s="92">
        <f>THG!Y44/THG!$D44-1</f>
        <v>9.7369965975959492</v>
      </c>
      <c r="Z44" s="92">
        <f>THG!Z44/THG!$D44-1</f>
        <v>10.195827879930849</v>
      </c>
      <c r="AA44" s="92">
        <f>THG!AA44/THG!$D44-1</f>
        <v>10.117627906303134</v>
      </c>
      <c r="AB44" s="92">
        <f>THG!AB44/THG!$D44-1</f>
        <v>11.02863334917568</v>
      </c>
      <c r="AC44" s="92">
        <f>THG!AC44/THG!$D44-1</f>
        <v>11.051974585719567</v>
      </c>
      <c r="AD44" s="92">
        <f>THG!AD44/THG!$D44-1</f>
        <v>11.361685363983366</v>
      </c>
      <c r="AE44" s="92">
        <f>THG!AE44/THG!$D44-1</f>
        <v>11.557385589665607</v>
      </c>
      <c r="AF44" s="92">
        <f>THG!AF44/THG!$D44-1</f>
        <v>11.184959602025165</v>
      </c>
      <c r="AG44" s="92">
        <f>THG!AG44/THG!$D44-1</f>
        <v>11.413777102343751</v>
      </c>
      <c r="AH44" s="92">
        <f>THG!AH44/THG!$D44-1</f>
        <v>11.392341760764177</v>
      </c>
      <c r="AI44" s="92">
        <f>THG!AI44/THG!$D44-1</f>
        <v>12.383449494705149</v>
      </c>
      <c r="AJ44" s="92">
        <f>THG!AJ44/THG!$D44-1</f>
        <v>12.39283409424012</v>
      </c>
      <c r="AK44" s="92">
        <f>THG!AK44/THG!$D44-1</f>
        <v>12.719185883239088</v>
      </c>
      <c r="AL44" s="92">
        <f>THG!AL44/THG!$D44-1</f>
        <v>13.194227923631686</v>
      </c>
    </row>
    <row r="45" spans="2:38" s="150" customFormat="1" ht="18.75" customHeight="1">
      <c r="B45" s="19" t="s">
        <v>20</v>
      </c>
      <c r="C45" s="159" t="s">
        <v>3</v>
      </c>
      <c r="D45" s="34">
        <f>THG!D45/THG!$D45-1</f>
        <v>0</v>
      </c>
      <c r="E45" s="34">
        <f>THG!E45/THG!$D45-1</f>
        <v>-0.14028651593018382</v>
      </c>
      <c r="F45" s="34">
        <f>THG!F45/THG!$D45-1</f>
        <v>-0.22598778448497103</v>
      </c>
      <c r="G45" s="34">
        <f>THG!G45/THG!$D45-1</f>
        <v>-0.26837774231390721</v>
      </c>
      <c r="H45" s="34">
        <f>THG!H45/THG!$D45-1</f>
        <v>-0.3173676417143807</v>
      </c>
      <c r="I45" s="34">
        <f>THG!I45/THG!$D45-1</f>
        <v>-0.31602964638122566</v>
      </c>
      <c r="J45" s="34">
        <f>THG!J45/THG!$D45-1</f>
        <v>-0.33508155356233971</v>
      </c>
      <c r="K45" s="34">
        <f>THG!K45/THG!$D45-1</f>
        <v>-0.35466787772924402</v>
      </c>
      <c r="L45" s="34">
        <f>THG!L45/THG!$D45-1</f>
        <v>-0.37411207185768602</v>
      </c>
      <c r="M45" s="34">
        <f>THG!M45/THG!$D45-1</f>
        <v>-0.37553215553666219</v>
      </c>
      <c r="N45" s="34">
        <f>THG!N45/THG!$D45-1</f>
        <v>-0.37710490539470698</v>
      </c>
      <c r="O45" s="34">
        <f>THG!O45/THG!$D45-1</f>
        <v>-0.37993733035339172</v>
      </c>
      <c r="P45" s="34">
        <f>THG!P45/THG!$D45-1</f>
        <v>-0.3869355896964769</v>
      </c>
      <c r="Q45" s="34">
        <f>THG!Q45/THG!$D45-1</f>
        <v>-0.39415264692242657</v>
      </c>
      <c r="R45" s="34">
        <f>THG!R45/THG!$D45-1</f>
        <v>-0.40099887562866421</v>
      </c>
      <c r="S45" s="34">
        <f>THG!S45/THG!$D45-1</f>
        <v>-0.40669730120941472</v>
      </c>
      <c r="T45" s="34">
        <f>THG!T45/THG!$D45-1</f>
        <v>-0.41355111892548946</v>
      </c>
      <c r="U45" s="34">
        <f>THG!U45/THG!$D45-1</f>
        <v>-0.42045358625430407</v>
      </c>
      <c r="V45" s="34">
        <f>THG!V45/THG!$D45-1</f>
        <v>-0.4280568204202162</v>
      </c>
      <c r="W45" s="34">
        <f>THG!W45/THG!$D45-1</f>
        <v>-0.43572744987110634</v>
      </c>
      <c r="X45" s="34">
        <f>THG!X45/THG!$D45-1</f>
        <v>-0.44332704699920067</v>
      </c>
      <c r="Y45" s="34">
        <f>THG!Y45/THG!$D45-1</f>
        <v>-0.45005217627477123</v>
      </c>
      <c r="Z45" s="34">
        <f>THG!Z45/THG!$D45-1</f>
        <v>-0.45613057173207983</v>
      </c>
      <c r="AA45" s="34">
        <f>THG!AA45/THG!$D45-1</f>
        <v>-0.4623655740491458</v>
      </c>
      <c r="AB45" s="34">
        <f>THG!AB45/THG!$D45-1</f>
        <v>-0.46777602774222127</v>
      </c>
      <c r="AC45" s="34">
        <f>THG!AC45/THG!$D45-1</f>
        <v>-0.4712717130172005</v>
      </c>
      <c r="AD45" s="34">
        <f>THG!AD45/THG!$D45-1</f>
        <v>-0.47772356868417332</v>
      </c>
      <c r="AE45" s="34">
        <f>THG!AE45/THG!$D45-1</f>
        <v>-0.48236917526203194</v>
      </c>
      <c r="AF45" s="34">
        <f>THG!AF45/THG!$D45-1</f>
        <v>-0.48823249493345633</v>
      </c>
      <c r="AG45" s="34">
        <f>THG!AG45/THG!$D45-1</f>
        <v>-0.49406223894006496</v>
      </c>
      <c r="AH45" s="34">
        <f>THG!AH45/THG!$D45-1</f>
        <v>-0.50083553410808124</v>
      </c>
      <c r="AI45" s="34">
        <f>THG!AI45/THG!$D45-1</f>
        <v>-0.49990165854428281</v>
      </c>
      <c r="AJ45" s="34">
        <f>THG!AJ45/THG!$D45-1</f>
        <v>-0.50261157571889781</v>
      </c>
      <c r="AK45" s="34">
        <f>THG!AK45/THG!$D45-1</f>
        <v>-0.50197187795994358</v>
      </c>
      <c r="AL45" s="34">
        <f>THG!AL45/THG!$D45-1</f>
        <v>-0.50151952450900583</v>
      </c>
    </row>
    <row r="46" spans="2:38" s="150" customFormat="1" ht="18.75" customHeight="1">
      <c r="B46" s="90" t="s">
        <v>29</v>
      </c>
      <c r="C46" s="160" t="s">
        <v>3</v>
      </c>
      <c r="D46" s="92" t="s">
        <v>28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</row>
    <row r="47" spans="2:38" s="150" customFormat="1" ht="18.75" customHeight="1">
      <c r="B47" s="19"/>
      <c r="C47" s="159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</row>
    <row r="48" spans="2:38" s="10" customFormat="1" ht="18.75" customHeight="1">
      <c r="B48" s="153" t="s">
        <v>128</v>
      </c>
      <c r="C48" s="22" t="s">
        <v>3</v>
      </c>
      <c r="D48" s="31">
        <f>THG!D48/THG!$D48-1</f>
        <v>0</v>
      </c>
      <c r="E48" s="31">
        <f>THG!E48/THG!$D48-1</f>
        <v>-1.3562378234659789</v>
      </c>
      <c r="F48" s="31">
        <f>THG!F48/THG!$D48-1</f>
        <v>-1.4862955025029363</v>
      </c>
      <c r="G48" s="31">
        <f>THG!G48/THG!$D48-1</f>
        <v>-1.7028730708557716</v>
      </c>
      <c r="H48" s="31">
        <f>THG!H48/THG!$D48-1</f>
        <v>-1.4819506303942687</v>
      </c>
      <c r="I48" s="31">
        <f>THG!I48/THG!$D48-1</f>
        <v>-1.1829181611206532</v>
      </c>
      <c r="J48" s="31">
        <f>THG!J48/THG!$D48-1</f>
        <v>-1.1996144687698067</v>
      </c>
      <c r="K48" s="31">
        <f>THG!K48/THG!$D48-1</f>
        <v>-1.2334791737868025</v>
      </c>
      <c r="L48" s="31">
        <f>THG!L48/THG!$D48-1</f>
        <v>-1.4109959700854477</v>
      </c>
      <c r="M48" s="31">
        <f>THG!M48/THG!$D48-1</f>
        <v>-1.2844973493361993</v>
      </c>
      <c r="N48" s="31">
        <f>THG!N48/THG!$D48-1</f>
        <v>-0.86986549406393576</v>
      </c>
      <c r="O48" s="31">
        <f>THG!O48/THG!$D48-1</f>
        <v>-1.0795722195502397</v>
      </c>
      <c r="P48" s="31">
        <f>THG!P48/THG!$D48-1</f>
        <v>-0.24222076587535957</v>
      </c>
      <c r="Q48" s="31">
        <f>THG!Q48/THG!$D48-1</f>
        <v>3.5933627489366016E-2</v>
      </c>
      <c r="R48" s="31">
        <f>THG!R48/THG!$D48-1</f>
        <v>-0.29858132959194494</v>
      </c>
      <c r="S48" s="31">
        <f>THG!S48/THG!$D48-1</f>
        <v>-0.40830299633118139</v>
      </c>
      <c r="T48" s="31">
        <f>THG!T48/THG!$D48-1</f>
        <v>-0.66890116838798885</v>
      </c>
      <c r="U48" s="31">
        <f>THG!U48/THG!$D48-1</f>
        <v>-0.89807147892662165</v>
      </c>
      <c r="V48" s="31">
        <f>THG!V48/THG!$D48-1</f>
        <v>-1.079400657638024</v>
      </c>
      <c r="W48" s="31">
        <f>THG!W48/THG!$D48-1</f>
        <v>-0.99243924165962605</v>
      </c>
      <c r="X48" s="31">
        <f>THG!X48/THG!$D48-1</f>
        <v>-0.85275267003375466</v>
      </c>
      <c r="Y48" s="31">
        <f>THG!Y48/THG!$D48-1</f>
        <v>-1.0337550043169115</v>
      </c>
      <c r="Z48" s="31">
        <f>THG!Z48/THG!$D48-1</f>
        <v>-0.94241013976445187</v>
      </c>
      <c r="AA48" s="31">
        <f>THG!AA48/THG!$D48-1</f>
        <v>-1.0127774683859816</v>
      </c>
      <c r="AB48" s="31">
        <f>THG!AB48/THG!$D48-1</f>
        <v>-0.71835269236314425</v>
      </c>
      <c r="AC48" s="31">
        <f>THG!AC48/THG!$D48-1</f>
        <v>-0.84091406258405244</v>
      </c>
      <c r="AD48" s="31">
        <f>THG!AD48/THG!$D48-1</f>
        <v>-0.75361606896520794</v>
      </c>
      <c r="AE48" s="31">
        <f>THG!AE48/THG!$D48-1</f>
        <v>-0.8893351030380704</v>
      </c>
      <c r="AF48" s="31">
        <f>THG!AF48/THG!$D48-1</f>
        <v>1.3092777110079492</v>
      </c>
      <c r="AG48" s="31">
        <f>THG!AG48/THG!$D48-1</f>
        <v>1.0018438440460837</v>
      </c>
      <c r="AH48" s="31">
        <f>THG!AH48/THG!$D48-1</f>
        <v>1.1277147185689342</v>
      </c>
      <c r="AI48" s="31">
        <f>THG!AI48/THG!$D48-1</f>
        <v>0.75109524912960701</v>
      </c>
      <c r="AJ48" s="31">
        <f>THG!AJ48/THG!$D48-1</f>
        <v>1.0985050202355353</v>
      </c>
      <c r="AK48" s="31">
        <f>THG!AK48/THG!$D48-1</f>
        <v>0.90557736510605991</v>
      </c>
      <c r="AL48" s="31">
        <f>THG!AL48/THG!$D48-1</f>
        <v>0.42360654326609004</v>
      </c>
    </row>
    <row r="49" spans="2:38" s="150" customFormat="1" ht="18.75" customHeight="1">
      <c r="B49" s="19" t="s">
        <v>129</v>
      </c>
      <c r="C49" s="159" t="s">
        <v>3</v>
      </c>
      <c r="D49" s="34">
        <f>THG!D49/THG!$D49-1</f>
        <v>0</v>
      </c>
      <c r="E49" s="34">
        <f>THG!E49/THG!$D49-1</f>
        <v>2.1480233449475805</v>
      </c>
      <c r="F49" s="34">
        <f>THG!F49/THG!$D49-1</f>
        <v>2.3184798139480804</v>
      </c>
      <c r="G49" s="34">
        <f>THG!G49/THG!$D49-1</f>
        <v>2.3265817062596605</v>
      </c>
      <c r="H49" s="34">
        <f>THG!H49/THG!$D49-1</f>
        <v>2.0141369053381801</v>
      </c>
      <c r="I49" s="34">
        <f>THG!I49/THG!$D49-1</f>
        <v>1.6860893298236288</v>
      </c>
      <c r="J49" s="34">
        <f>THG!J49/THG!$D49-1</f>
        <v>1.8353369277874489</v>
      </c>
      <c r="K49" s="34">
        <f>THG!K49/THG!$D49-1</f>
        <v>1.805991890838659</v>
      </c>
      <c r="L49" s="34">
        <f>THG!L49/THG!$D49-1</f>
        <v>1.6781835965256775</v>
      </c>
      <c r="M49" s="34">
        <f>THG!M49/THG!$D49-1</f>
        <v>1.7578472891466932</v>
      </c>
      <c r="N49" s="34">
        <f>THG!N49/THG!$D49-1</f>
        <v>1.0433154973569754</v>
      </c>
      <c r="O49" s="34">
        <f>THG!O49/THG!$D49-1</f>
        <v>1.6758034518550784</v>
      </c>
      <c r="P49" s="34">
        <f>THG!P49/THG!$D49-1</f>
        <v>0.33824791563041745</v>
      </c>
      <c r="Q49" s="34">
        <f>THG!Q49/THG!$D49-1</f>
        <v>0.35450491340120327</v>
      </c>
      <c r="R49" s="34">
        <f>THG!R49/THG!$D49-1</f>
        <v>0.32715979751645774</v>
      </c>
      <c r="S49" s="34">
        <f>THG!S49/THG!$D49-1</f>
        <v>0.30271391366347888</v>
      </c>
      <c r="T49" s="34">
        <f>THG!T49/THG!$D49-1</f>
        <v>0.26294970055743883</v>
      </c>
      <c r="U49" s="34">
        <f>THG!U49/THG!$D49-1</f>
        <v>0.14609754370314776</v>
      </c>
      <c r="V49" s="34">
        <f>THG!V49/THG!$D49-1</f>
        <v>0.98930118740136641</v>
      </c>
      <c r="W49" s="34">
        <f>THG!W49/THG!$D49-1</f>
        <v>0.89760803043800452</v>
      </c>
      <c r="X49" s="34">
        <f>THG!X49/THG!$D49-1</f>
        <v>0.58431261689780878</v>
      </c>
      <c r="Y49" s="34">
        <f>THG!Y49/THG!$D49-1</f>
        <v>0.84645624134935527</v>
      </c>
      <c r="Z49" s="34">
        <f>THG!Z49/THG!$D49-1</f>
        <v>0.84463086675592192</v>
      </c>
      <c r="AA49" s="34">
        <f>THG!AA49/THG!$D49-1</f>
        <v>1.1084500497680612</v>
      </c>
      <c r="AB49" s="34">
        <f>THG!AB49/THG!$D49-1</f>
        <v>0.76587696192497101</v>
      </c>
      <c r="AC49" s="34">
        <f>THG!AC49/THG!$D49-1</f>
        <v>0.87035863021459026</v>
      </c>
      <c r="AD49" s="34">
        <f>THG!AD49/THG!$D49-1</f>
        <v>0.88468803349297476</v>
      </c>
      <c r="AE49" s="34">
        <f>THG!AE49/THG!$D49-1</f>
        <v>0.74663857627679264</v>
      </c>
      <c r="AF49" s="34">
        <f>THG!AF49/THG!$D49-1</f>
        <v>-1.9085576376268136</v>
      </c>
      <c r="AG49" s="34">
        <f>THG!AG49/THG!$D49-1</f>
        <v>-1.7218064925962251</v>
      </c>
      <c r="AH49" s="34">
        <f>THG!AH49/THG!$D49-1</f>
        <v>-1.9542198099325023</v>
      </c>
      <c r="AI49" s="34">
        <f>THG!AI49/THG!$D49-1</f>
        <v>-1.628665738406772</v>
      </c>
      <c r="AJ49" s="34">
        <f>THG!AJ49/THG!$D49-1</f>
        <v>-1.7393145879014607</v>
      </c>
      <c r="AK49" s="34">
        <f>THG!AK49/THG!$D49-1</f>
        <v>-1.8250738179806441</v>
      </c>
      <c r="AL49" s="34">
        <f>THG!AL49/THG!$D49-1</f>
        <v>-1.0213180752079392</v>
      </c>
    </row>
    <row r="50" spans="2:38" s="150" customFormat="1" ht="18.75" customHeight="1">
      <c r="B50" s="90" t="s">
        <v>130</v>
      </c>
      <c r="C50" s="160" t="s">
        <v>3</v>
      </c>
      <c r="D50" s="92">
        <f>THG!D50/THG!$D50-1</f>
        <v>0</v>
      </c>
      <c r="E50" s="92">
        <f>THG!E50/THG!$D50-1</f>
        <v>2.6741881703712389E-2</v>
      </c>
      <c r="F50" s="92">
        <f>THG!F50/THG!$D50-1</f>
        <v>1.1763923094031181E-2</v>
      </c>
      <c r="G50" s="92">
        <f>THG!G50/THG!$D50-1</f>
        <v>-5.0820045672633207E-2</v>
      </c>
      <c r="H50" s="92">
        <f>THG!H50/THG!$D50-1</f>
        <v>-3.3749740407287288E-2</v>
      </c>
      <c r="I50" s="92">
        <f>THG!I50/THG!$D50-1</f>
        <v>-7.0109764901293836E-3</v>
      </c>
      <c r="J50" s="92">
        <f>THG!J50/THG!$D50-1</f>
        <v>2.3893999368793217E-2</v>
      </c>
      <c r="K50" s="92">
        <f>THG!K50/THG!$D50-1</f>
        <v>1.8516294892622742E-2</v>
      </c>
      <c r="L50" s="92">
        <f>THG!L50/THG!$D50-1</f>
        <v>-7.6533404351137535E-2</v>
      </c>
      <c r="M50" s="92">
        <f>THG!M50/THG!$D50-1</f>
        <v>-1.216313243063416E-2</v>
      </c>
      <c r="N50" s="92">
        <f>THG!N50/THG!$D50-1</f>
        <v>-2.3061800746852268E-2</v>
      </c>
      <c r="O50" s="92">
        <f>THG!O50/THG!$D50-1</f>
        <v>-7.487505025791541E-3</v>
      </c>
      <c r="P50" s="92">
        <f>THG!P50/THG!$D50-1</f>
        <v>-1.1086263138956332E-2</v>
      </c>
      <c r="Q50" s="92">
        <f>THG!Q50/THG!$D50-1</f>
        <v>9.7314067151059058E-2</v>
      </c>
      <c r="R50" s="92">
        <f>THG!R50/THG!$D50-1</f>
        <v>3.2932533313266177E-2</v>
      </c>
      <c r="S50" s="92">
        <f>THG!S50/THG!$D50-1</f>
        <v>7.7162453286247157E-2</v>
      </c>
      <c r="T50" s="92">
        <f>THG!T50/THG!$D50-1</f>
        <v>6.6766815364511789E-3</v>
      </c>
      <c r="U50" s="92">
        <f>THG!U50/THG!$D50-1</f>
        <v>-7.8019700055545593E-2</v>
      </c>
      <c r="V50" s="92">
        <f>THG!V50/THG!$D50-1</f>
        <v>-1.952534060160338E-2</v>
      </c>
      <c r="W50" s="92">
        <f>THG!W50/THG!$D50-1</f>
        <v>-3.2234244674674839E-3</v>
      </c>
      <c r="X50" s="92">
        <f>THG!X50/THG!$D50-1</f>
        <v>-2.7186473475448114E-2</v>
      </c>
      <c r="Y50" s="92">
        <f>THG!Y50/THG!$D50-1</f>
        <v>8.8945795344601564E-3</v>
      </c>
      <c r="Z50" s="92">
        <f>THG!Z50/THG!$D50-1</f>
        <v>2.4329980464024015E-2</v>
      </c>
      <c r="AA50" s="92">
        <f>THG!AA50/THG!$D50-1</f>
        <v>3.8865306481984163E-2</v>
      </c>
      <c r="AB50" s="92">
        <f>THG!AB50/THG!$D50-1</f>
        <v>5.7606621465262409E-2</v>
      </c>
      <c r="AC50" s="92">
        <f>THG!AC50/THG!$D50-1</f>
        <v>3.1205740389750991E-2</v>
      </c>
      <c r="AD50" s="92">
        <f>THG!AD50/THG!$D50-1</f>
        <v>7.7930150312667257E-2</v>
      </c>
      <c r="AE50" s="92">
        <f>THG!AE50/THG!$D50-1</f>
        <v>7.7387812083455909E-3</v>
      </c>
      <c r="AF50" s="92">
        <f>THG!AF50/THG!$D50-1</f>
        <v>0.11015123939909199</v>
      </c>
      <c r="AG50" s="92">
        <f>THG!AG50/THG!$D50-1</f>
        <v>7.7638419656755664E-2</v>
      </c>
      <c r="AH50" s="92">
        <f>THG!AH50/THG!$D50-1</f>
        <v>7.6908330247238865E-2</v>
      </c>
      <c r="AI50" s="92">
        <f>THG!AI50/THG!$D50-1</f>
        <v>2.7002762410559766E-2</v>
      </c>
      <c r="AJ50" s="92">
        <f>THG!AJ50/THG!$D50-1</f>
        <v>5.7333118259561777E-2</v>
      </c>
      <c r="AK50" s="92">
        <f>THG!AK50/THG!$D50-1</f>
        <v>-3.8427794846845886E-2</v>
      </c>
      <c r="AL50" s="92">
        <f>THG!AL50/THG!$D50-1</f>
        <v>-3.7148210495492662E-2</v>
      </c>
    </row>
    <row r="51" spans="2:38" s="150" customFormat="1" ht="18.75" customHeight="1">
      <c r="B51" s="19" t="s">
        <v>133</v>
      </c>
      <c r="C51" s="159" t="s">
        <v>3</v>
      </c>
      <c r="D51" s="34">
        <f>THG!D51/THG!$D51-1</f>
        <v>0</v>
      </c>
      <c r="E51" s="34">
        <f>THG!E51/THG!$D51-1</f>
        <v>5.5297657869941563E-2</v>
      </c>
      <c r="F51" s="34">
        <f>THG!F51/THG!$D51-1</f>
        <v>7.5045336547819197E-2</v>
      </c>
      <c r="G51" s="34">
        <f>THG!G51/THG!$D51-1</f>
        <v>-9.3568644246365573E-2</v>
      </c>
      <c r="H51" s="34">
        <f>THG!H51/THG!$D51-1</f>
        <v>-1.8514871770918706E-2</v>
      </c>
      <c r="I51" s="34">
        <f>THG!I51/THG!$D51-1</f>
        <v>3.8194496961046154E-2</v>
      </c>
      <c r="J51" s="34">
        <f>THG!J51/THG!$D51-1</f>
        <v>9.7191819089804454E-2</v>
      </c>
      <c r="K51" s="34">
        <f>THG!K51/THG!$D51-1</f>
        <v>8.0911470702892396E-2</v>
      </c>
      <c r="L51" s="34">
        <f>THG!L51/THG!$D51-1</f>
        <v>-0.10155506125627123</v>
      </c>
      <c r="M51" s="34">
        <f>THG!M51/THG!$D51-1</f>
        <v>5.7854813148874085E-2</v>
      </c>
      <c r="N51" s="34">
        <f>THG!N51/THG!$D51-1</f>
        <v>2.6532341890849631E-2</v>
      </c>
      <c r="O51" s="34">
        <f>THG!O51/THG!$D51-1</f>
        <v>0.12212601159788661</v>
      </c>
      <c r="P51" s="34">
        <f>THG!P51/THG!$D51-1</f>
        <v>7.8734494418276624E-2</v>
      </c>
      <c r="Q51" s="34">
        <f>THG!Q51/THG!$D51-1</f>
        <v>0.3224639400012177</v>
      </c>
      <c r="R51" s="34">
        <f>THG!R51/THG!$D51-1</f>
        <v>0.12699163054935059</v>
      </c>
      <c r="S51" s="34">
        <f>THG!S51/THG!$D51-1</f>
        <v>8.2393844949062656E-2</v>
      </c>
      <c r="T51" s="34">
        <f>THG!T51/THG!$D51-1</f>
        <v>-6.2829645976907211E-2</v>
      </c>
      <c r="U51" s="34">
        <f>THG!U51/THG!$D51-1</f>
        <v>-0.28113863907855585</v>
      </c>
      <c r="V51" s="34">
        <f>THG!V51/THG!$D51-1</f>
        <v>-0.17876360128779178</v>
      </c>
      <c r="W51" s="34">
        <f>THG!W51/THG!$D51-1</f>
        <v>-0.16806467661011393</v>
      </c>
      <c r="X51" s="34">
        <f>THG!X51/THG!$D51-1</f>
        <v>-0.27824592079111765</v>
      </c>
      <c r="Y51" s="34">
        <f>THG!Y51/THG!$D51-1</f>
        <v>-0.3280871157159595</v>
      </c>
      <c r="Z51" s="34">
        <f>THG!Z51/THG!$D51-1</f>
        <v>-0.29475117244878601</v>
      </c>
      <c r="AA51" s="34">
        <f>THG!AA51/THG!$D51-1</f>
        <v>-0.22109438235552215</v>
      </c>
      <c r="AB51" s="34">
        <f>THG!AB51/THG!$D51-1</f>
        <v>-0.17603563172989056</v>
      </c>
      <c r="AC51" s="34">
        <f>THG!AC51/THG!$D51-1</f>
        <v>-0.20722807604361093</v>
      </c>
      <c r="AD51" s="34">
        <f>THG!AD51/THG!$D51-1</f>
        <v>-0.13247194608210955</v>
      </c>
      <c r="AE51" s="34">
        <f>THG!AE51/THG!$D51-1</f>
        <v>-0.29149466981875449</v>
      </c>
      <c r="AF51" s="34">
        <f>THG!AF51/THG!$D51-1</f>
        <v>-1.548489377367479E-2</v>
      </c>
      <c r="AG51" s="34">
        <f>THG!AG51/THG!$D51-1</f>
        <v>-0.12421760720954778</v>
      </c>
      <c r="AH51" s="34">
        <f>THG!AH51/THG!$D51-1</f>
        <v>-0.12873873900116151</v>
      </c>
      <c r="AI51" s="34">
        <f>THG!AI51/THG!$D51-1</f>
        <v>-0.24220420813443511</v>
      </c>
      <c r="AJ51" s="34">
        <f>THG!AJ51/THG!$D51-1</f>
        <v>-0.10709462998146091</v>
      </c>
      <c r="AK51" s="34">
        <f>THG!AK51/THG!$D51-1</f>
        <v>-0.26545277045060922</v>
      </c>
      <c r="AL51" s="34">
        <f>THG!AL51/THG!$D51-1</f>
        <v>-0.24791305827025079</v>
      </c>
    </row>
    <row r="52" spans="2:38" s="150" customFormat="1" ht="18.75" customHeight="1">
      <c r="B52" s="90" t="s">
        <v>134</v>
      </c>
      <c r="C52" s="160" t="s">
        <v>3</v>
      </c>
      <c r="D52" s="92">
        <f>THG!D52/THG!$D52-1</f>
        <v>0</v>
      </c>
      <c r="E52" s="92">
        <f>THG!E52/THG!$D52-1</f>
        <v>5.2909306263167366E-2</v>
      </c>
      <c r="F52" s="92">
        <f>THG!F52/THG!$D52-1</f>
        <v>6.9272321577625195E-2</v>
      </c>
      <c r="G52" s="92">
        <f>THG!G52/THG!$D52-1</f>
        <v>-3.9459959030453184E-2</v>
      </c>
      <c r="H52" s="92">
        <f>THG!H52/THG!$D52-1</f>
        <v>7.8518415892281368E-3</v>
      </c>
      <c r="I52" s="92">
        <f>THG!I52/THG!$D52-1</f>
        <v>4.4087232497358464E-2</v>
      </c>
      <c r="J52" s="92">
        <f>THG!J52/THG!$D52-1</f>
        <v>0.1019765775508914</v>
      </c>
      <c r="K52" s="92">
        <f>THG!K52/THG!$D52-1</f>
        <v>7.0395338876533264E-2</v>
      </c>
      <c r="L52" s="92">
        <f>THG!L52/THG!$D52-1</f>
        <v>-4.9071868958354581E-2</v>
      </c>
      <c r="M52" s="92">
        <f>THG!M52/THG!$D52-1</f>
        <v>7.9088463208372151E-2</v>
      </c>
      <c r="N52" s="92">
        <f>THG!N52/THG!$D52-1</f>
        <v>5.5930067628574331E-2</v>
      </c>
      <c r="O52" s="92">
        <f>THG!O52/THG!$D52-1</f>
        <v>-1.320142717244599E-2</v>
      </c>
      <c r="P52" s="92">
        <f>THG!P52/THG!$D52-1</f>
        <v>-7.5781881640234139E-2</v>
      </c>
      <c r="Q52" s="92">
        <f>THG!Q52/THG!$D52-1</f>
        <v>0.12668584290388196</v>
      </c>
      <c r="R52" s="92">
        <f>THG!R52/THG!$D52-1</f>
        <v>-2.6930767847048731E-3</v>
      </c>
      <c r="S52" s="92">
        <f>THG!S52/THG!$D52-1</f>
        <v>2.6675570733965204E-2</v>
      </c>
      <c r="T52" s="92">
        <f>THG!T52/THG!$D52-1</f>
        <v>8.9343490714921092E-2</v>
      </c>
      <c r="U52" s="92">
        <f>THG!U52/THG!$D52-1</f>
        <v>-1.8134676624824042E-2</v>
      </c>
      <c r="V52" s="92">
        <f>THG!V52/THG!$D52-1</f>
        <v>4.975663508323791E-2</v>
      </c>
      <c r="W52" s="92">
        <f>THG!W52/THG!$D52-1</f>
        <v>7.3351456562527284E-2</v>
      </c>
      <c r="X52" s="92">
        <f>THG!X52/THG!$D52-1</f>
        <v>1.4160865437215175E-2</v>
      </c>
      <c r="Y52" s="92">
        <f>THG!Y52/THG!$D52-1</f>
        <v>4.2823670723793894E-2</v>
      </c>
      <c r="Z52" s="92">
        <f>THG!Z52/THG!$D52-1</f>
        <v>4.2621698350767678E-2</v>
      </c>
      <c r="AA52" s="92">
        <f>THG!AA52/THG!$D52-1</f>
        <v>4.1318043940318905E-2</v>
      </c>
      <c r="AB52" s="92">
        <f>THG!AB52/THG!$D52-1</f>
        <v>5.938267773792294E-2</v>
      </c>
      <c r="AC52" s="92">
        <f>THG!AC52/THG!$D52-1</f>
        <v>1.0703344378699908E-2</v>
      </c>
      <c r="AD52" s="92">
        <f>THG!AD52/THG!$D52-1</f>
        <v>6.8813646618484992E-2</v>
      </c>
      <c r="AE52" s="92">
        <f>THG!AE52/THG!$D52-1</f>
        <v>-4.4520982026104439E-2</v>
      </c>
      <c r="AF52" s="92">
        <f>THG!AF52/THG!$D52-1</f>
        <v>0.1775585616635118</v>
      </c>
      <c r="AG52" s="92">
        <f>THG!AG52/THG!$D52-1</f>
        <v>9.5106939182594497E-2</v>
      </c>
      <c r="AH52" s="92">
        <f>THG!AH52/THG!$D52-1</f>
        <v>0.11953959261194314</v>
      </c>
      <c r="AI52" s="92">
        <f>THG!AI52/THG!$D52-1</f>
        <v>5.139695607941186E-2</v>
      </c>
      <c r="AJ52" s="92">
        <f>THG!AJ52/THG!$D52-1</f>
        <v>0.15121434284408997</v>
      </c>
      <c r="AK52" s="92">
        <f>THG!AK52/THG!$D52-1</f>
        <v>-4.1441236211087307E-2</v>
      </c>
      <c r="AL52" s="92">
        <f>THG!AL52/THG!$D52-1</f>
        <v>-3.8790852688580735E-2</v>
      </c>
    </row>
    <row r="53" spans="2:38" s="150" customFormat="1" ht="18.75" customHeight="1">
      <c r="B53" s="19" t="s">
        <v>135</v>
      </c>
      <c r="C53" s="159" t="s">
        <v>3</v>
      </c>
      <c r="D53" s="34">
        <f>THG!D53/THG!$D53-1</f>
        <v>0</v>
      </c>
      <c r="E53" s="34">
        <f>THG!E53/THG!$D53-1</f>
        <v>0.20477150984604808</v>
      </c>
      <c r="F53" s="34">
        <f>THG!F53/THG!$D53-1</f>
        <v>0.10535519955104</v>
      </c>
      <c r="G53" s="34">
        <f>THG!G53/THG!$D53-1</f>
        <v>-0.16030234407117416</v>
      </c>
      <c r="H53" s="34">
        <f>THG!H53/THG!$D53-1</f>
        <v>-8.9887642274992352E-2</v>
      </c>
      <c r="I53" s="34">
        <f>THG!I53/THG!$D53-1</f>
        <v>-5.5952644829071474E-3</v>
      </c>
      <c r="J53" s="34">
        <f>THG!J53/THG!$D53-1</f>
        <v>0.19542287776296541</v>
      </c>
      <c r="K53" s="34">
        <f>THG!K53/THG!$D53-1</f>
        <v>0.18073983959898099</v>
      </c>
      <c r="L53" s="34">
        <f>THG!L53/THG!$D53-1</f>
        <v>-0.42060176020568818</v>
      </c>
      <c r="M53" s="34">
        <f>THG!M53/THG!$D53-1</f>
        <v>-2.4173853307516424E-2</v>
      </c>
      <c r="N53" s="34">
        <f>THG!N53/THG!$D53-1</f>
        <v>-7.4697489471100775E-2</v>
      </c>
      <c r="O53" s="34">
        <f>THG!O53/THG!$D53-1</f>
        <v>8.671971623410986</v>
      </c>
      <c r="P53" s="34">
        <f>THG!P53/THG!$D53-1</f>
        <v>8.9068300183222497</v>
      </c>
      <c r="Q53" s="34">
        <f>THG!Q53/THG!$D53-1</f>
        <v>8.7744083354906302</v>
      </c>
      <c r="R53" s="34">
        <f>THG!R53/THG!$D53-1</f>
        <v>7.7909622897021933</v>
      </c>
      <c r="S53" s="34">
        <f>THG!S53/THG!$D53-1</f>
        <v>4.478009128291129</v>
      </c>
      <c r="T53" s="34">
        <f>THG!T53/THG!$D53-1</f>
        <v>-3.2545140462355588</v>
      </c>
      <c r="U53" s="34">
        <f>THG!U53/THG!$D53-1</f>
        <v>-6.9128384997208805</v>
      </c>
      <c r="V53" s="34">
        <f>THG!V53/THG!$D53-1</f>
        <v>-8.2613817750900047</v>
      </c>
      <c r="W53" s="34">
        <f>THG!W53/THG!$D53-1</f>
        <v>-8.6518128474676992</v>
      </c>
      <c r="X53" s="34">
        <f>THG!X53/THG!$D53-1</f>
        <v>-8.3347809471672676</v>
      </c>
      <c r="Y53" s="34">
        <f>THG!Y53/THG!$D53-1</f>
        <v>-7.1834920730519567</v>
      </c>
      <c r="Z53" s="34">
        <f>THG!Z53/THG!$D53-1</f>
        <v>-5.4832632572251674</v>
      </c>
      <c r="AA53" s="34">
        <f>THG!AA53/THG!$D53-1</f>
        <v>-4.688024341584029</v>
      </c>
      <c r="AB53" s="34">
        <f>THG!AB53/THG!$D53-1</f>
        <v>-3.7026914436053446</v>
      </c>
      <c r="AC53" s="34">
        <f>THG!AC53/THG!$D53-1</f>
        <v>-4.0418826160314119</v>
      </c>
      <c r="AD53" s="34">
        <f>THG!AD53/THG!$D53-1</f>
        <v>-4.8172850399875768</v>
      </c>
      <c r="AE53" s="34">
        <f>THG!AE53/THG!$D53-1</f>
        <v>-5.0291476036619995</v>
      </c>
      <c r="AF53" s="34">
        <f>THG!AF53/THG!$D53-1</f>
        <v>-3.0107813276158715</v>
      </c>
      <c r="AG53" s="34">
        <f>THG!AG53/THG!$D53-1</f>
        <v>-3.8488057586035174</v>
      </c>
      <c r="AH53" s="34">
        <f>THG!AH53/THG!$D53-1</f>
        <v>-2.9647481275855148</v>
      </c>
      <c r="AI53" s="34">
        <f>THG!AI53/THG!$D53-1</f>
        <v>-2.6586693548756828</v>
      </c>
      <c r="AJ53" s="34">
        <f>THG!AJ53/THG!$D53-1</f>
        <v>-1.573285435217386</v>
      </c>
      <c r="AK53" s="34">
        <f>THG!AK53/THG!$D53-1</f>
        <v>-1.4274816306108846</v>
      </c>
      <c r="AL53" s="34">
        <f>THG!AL53/THG!$D53-1</f>
        <v>-1.3696050823781583</v>
      </c>
    </row>
    <row r="54" spans="2:38" s="150" customFormat="1" ht="18.75" customHeight="1">
      <c r="B54" s="90" t="s">
        <v>131</v>
      </c>
      <c r="C54" s="160" t="s">
        <v>3</v>
      </c>
      <c r="D54" s="92">
        <f>THG!D54/THG!$D54-1</f>
        <v>0</v>
      </c>
      <c r="E54" s="92">
        <f>THG!E54/THG!$D54-1</f>
        <v>-2.0128361243197572</v>
      </c>
      <c r="F54" s="92">
        <f>THG!F54/THG!$D54-1</f>
        <v>-1.4224595320870572</v>
      </c>
      <c r="G54" s="92">
        <f>THG!G54/THG!$D54-1</f>
        <v>-1.6203598121671452</v>
      </c>
      <c r="H54" s="92">
        <f>THG!H54/THG!$D54-1</f>
        <v>0.77273164211796064</v>
      </c>
      <c r="I54" s="92">
        <f>THG!I54/THG!$D54-1</f>
        <v>0.99990014047153353</v>
      </c>
      <c r="J54" s="92">
        <f>THG!J54/THG!$D54-1</f>
        <v>0.98947774014003609</v>
      </c>
      <c r="K54" s="92">
        <f>THG!K54/THG!$D54-1</f>
        <v>1.7586962893632414</v>
      </c>
      <c r="L54" s="92">
        <f>THG!L54/THG!$D54-1</f>
        <v>2.0560764160624574</v>
      </c>
      <c r="M54" s="92">
        <f>THG!M54/THG!$D54-1</f>
        <v>2.9977009751647912</v>
      </c>
      <c r="N54" s="92">
        <f>THG!N54/THG!$D54-1</f>
        <v>4.2742935256387389</v>
      </c>
      <c r="O54" s="92">
        <f>THG!O54/THG!$D54-1</f>
        <v>2.9989209971420467</v>
      </c>
      <c r="P54" s="92">
        <f>THG!P54/THG!$D54-1</f>
        <v>4.3537268745200013</v>
      </c>
      <c r="Q54" s="92">
        <f>THG!Q54/THG!$D54-1</f>
        <v>5.460654134476667</v>
      </c>
      <c r="R54" s="92">
        <f>THG!R54/THG!$D54-1</f>
        <v>8.0426305268358185</v>
      </c>
      <c r="S54" s="92">
        <f>THG!S54/THG!$D54-1</f>
        <v>10.138752813501243</v>
      </c>
      <c r="T54" s="92">
        <f>THG!T54/THG!$D54-1</f>
        <v>11.09221576319333</v>
      </c>
      <c r="U54" s="92">
        <f>THG!U54/THG!$D54-1</f>
        <v>10.907894061666568</v>
      </c>
      <c r="V54" s="92">
        <f>THG!V54/THG!$D54-1</f>
        <v>3.2060895594598673</v>
      </c>
      <c r="W54" s="92">
        <f>THG!W54/THG!$D54-1</f>
        <v>3.1428009385134601</v>
      </c>
      <c r="X54" s="92">
        <f>THG!X54/THG!$D54-1</f>
        <v>1.9953313340499674</v>
      </c>
      <c r="Y54" s="92">
        <f>THG!Y54/THG!$D54-1</f>
        <v>1.8498972787955266</v>
      </c>
      <c r="Z54" s="92">
        <f>THG!Z54/THG!$D54-1</f>
        <v>1.0507454754554346</v>
      </c>
      <c r="AA54" s="92">
        <f>THG!AA54/THG!$D54-1</f>
        <v>0.21214075599986471</v>
      </c>
      <c r="AB54" s="92">
        <f>THG!AB54/THG!$D54-1</f>
        <v>0.61641661883701149</v>
      </c>
      <c r="AC54" s="92">
        <f>THG!AC54/THG!$D54-1</f>
        <v>0.32405414541362143</v>
      </c>
      <c r="AD54" s="92">
        <f>THG!AD54/THG!$D54-1</f>
        <v>0.36533534897798514</v>
      </c>
      <c r="AE54" s="92">
        <f>THG!AE54/THG!$D54-1</f>
        <v>0.85894147496824447</v>
      </c>
      <c r="AF54" s="92">
        <f>THG!AF54/THG!$D54-1</f>
        <v>2.4478226053065306</v>
      </c>
      <c r="AG54" s="92">
        <f>THG!AG54/THG!$D54-1</f>
        <v>3.2050961842784842</v>
      </c>
      <c r="AH54" s="92">
        <f>THG!AH54/THG!$D54-1</f>
        <v>4.5674750888624471</v>
      </c>
      <c r="AI54" s="92">
        <f>THG!AI54/THG!$D54-1</f>
        <v>4.6613677185269831</v>
      </c>
      <c r="AJ54" s="92">
        <f>THG!AJ54/THG!$D54-1</f>
        <v>2.1938482952133511</v>
      </c>
      <c r="AK54" s="92">
        <f>THG!AK54/THG!$D54-1</f>
        <v>2.4346204012956028</v>
      </c>
      <c r="AL54" s="92">
        <f>THG!AL54/THG!$D54-1</f>
        <v>0.66084157739756955</v>
      </c>
    </row>
    <row r="55" spans="2:38" ht="19.5" customHeight="1">
      <c r="B55" s="7"/>
      <c r="C55" s="16"/>
      <c r="AH55" s="150"/>
      <c r="AI55" s="150"/>
    </row>
  </sheetData>
  <pageMargins left="0.70866141732283472" right="0.70866141732283472" top="0.78740157480314965" bottom="0.78740157480314965" header="1.1811023622047245" footer="1.1811023622047245"/>
  <pageSetup paperSize="9" scale="20" orientation="portrait" r:id="rId1"/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5A7AB-6BCF-40E1-AF1D-00C3A0F306FD}">
  <sheetPr>
    <tabColor theme="6" tint="0.79998168889431442"/>
    <pageSetUpPr fitToPage="1"/>
  </sheetPr>
  <dimension ref="A1:X35"/>
  <sheetViews>
    <sheetView showGridLines="0" zoomScale="130" zoomScaleNormal="130" zoomScaleSheetLayoutView="110" workbookViewId="0">
      <selection activeCell="A5" sqref="A5:M28"/>
    </sheetView>
  </sheetViews>
  <sheetFormatPr baseColWidth="10" defaultColWidth="11.42578125" defaultRowHeight="12.75"/>
  <cols>
    <col min="1" max="1" width="5.7109375" style="41" customWidth="1"/>
    <col min="2" max="2" width="4.28515625" style="41" customWidth="1"/>
    <col min="3" max="3" width="1.7109375" style="41" customWidth="1"/>
    <col min="4" max="4" width="14" style="41" customWidth="1"/>
    <col min="5" max="5" width="1.7109375" style="41" customWidth="1"/>
    <col min="6" max="6" width="14" style="41" customWidth="1"/>
    <col min="7" max="7" width="1.7109375" style="41" customWidth="1"/>
    <col min="8" max="8" width="14" style="41" customWidth="1"/>
    <col min="9" max="9" width="1.7109375" style="41" customWidth="1"/>
    <col min="10" max="10" width="14" style="41" customWidth="1"/>
    <col min="11" max="11" width="1.7109375" style="41" customWidth="1"/>
    <col min="12" max="12" width="14" style="41" customWidth="1"/>
    <col min="13" max="13" width="3.140625" style="41" customWidth="1"/>
    <col min="14" max="14" width="1.42578125" style="41" customWidth="1"/>
    <col min="15" max="15" width="15.140625" style="41" customWidth="1"/>
    <col min="16" max="16" width="2.5703125" style="42" customWidth="1"/>
    <col min="17" max="19" width="11.7109375" style="42" customWidth="1"/>
    <col min="20" max="20" width="4" style="42" customWidth="1"/>
    <col min="21" max="22" width="11.7109375" style="42" customWidth="1"/>
    <col min="23" max="23" width="19.140625" style="42" customWidth="1"/>
    <col min="24" max="24" width="2.5703125" style="42" customWidth="1"/>
    <col min="25" max="16384" width="11.42578125" style="42"/>
  </cols>
  <sheetData>
    <row r="1" spans="1:24" ht="9" customHeight="1">
      <c r="A1" s="40"/>
    </row>
    <row r="2" spans="1:24" ht="20.2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P2" s="225" t="s">
        <v>62</v>
      </c>
      <c r="Q2" s="226"/>
      <c r="R2" s="226"/>
      <c r="S2" s="226"/>
      <c r="T2" s="226"/>
      <c r="U2" s="226"/>
      <c r="V2" s="226"/>
      <c r="W2" s="226"/>
      <c r="X2" s="227"/>
    </row>
    <row r="3" spans="1:24" ht="18.7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P3" s="45"/>
      <c r="Q3" s="46"/>
      <c r="R3" s="47"/>
      <c r="S3" s="46"/>
      <c r="T3" s="46"/>
      <c r="U3" s="47"/>
      <c r="V3" s="46"/>
      <c r="W3" s="46"/>
      <c r="X3" s="48"/>
    </row>
    <row r="4" spans="1:24" ht="15.9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P4" s="45"/>
      <c r="Q4" s="46"/>
      <c r="R4" s="46"/>
      <c r="S4" s="46"/>
      <c r="T4" s="46"/>
      <c r="U4" s="46"/>
      <c r="V4" s="46"/>
      <c r="W4" s="46"/>
      <c r="X4" s="48"/>
    </row>
    <row r="5" spans="1:24" ht="7.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P5" s="50"/>
      <c r="Q5" s="51"/>
      <c r="R5" s="51"/>
      <c r="S5" s="51"/>
      <c r="T5" s="51"/>
      <c r="U5" s="51"/>
      <c r="V5" s="51"/>
      <c r="W5" s="51"/>
      <c r="X5" s="52"/>
    </row>
    <row r="6" spans="1:24" ht="16.5" customHeight="1">
      <c r="B6" s="53"/>
      <c r="P6" s="50"/>
      <c r="Q6" s="51"/>
      <c r="R6" s="51"/>
      <c r="S6" s="51"/>
      <c r="T6" s="51"/>
      <c r="U6" s="51"/>
      <c r="V6" s="51"/>
      <c r="W6" s="51"/>
      <c r="X6" s="52"/>
    </row>
    <row r="7" spans="1:24" ht="16.5" customHeight="1">
      <c r="B7" s="53"/>
      <c r="P7" s="50"/>
      <c r="Q7" s="51"/>
      <c r="R7" s="51"/>
      <c r="S7" s="51"/>
      <c r="T7" s="51"/>
      <c r="U7" s="51"/>
      <c r="V7" s="51"/>
      <c r="W7" s="51"/>
      <c r="X7" s="52"/>
    </row>
    <row r="8" spans="1:24" ht="16.5" customHeight="1">
      <c r="B8" s="53"/>
      <c r="P8" s="50"/>
      <c r="Q8" s="51"/>
      <c r="R8" s="51"/>
      <c r="S8" s="51"/>
      <c r="T8" s="51"/>
      <c r="U8" s="51"/>
      <c r="V8" s="51"/>
      <c r="W8" s="51"/>
      <c r="X8" s="52"/>
    </row>
    <row r="9" spans="1:24" ht="16.5" customHeight="1">
      <c r="B9" s="53"/>
      <c r="P9" s="50"/>
      <c r="Q9" s="51"/>
      <c r="R9" s="51"/>
      <c r="S9" s="51"/>
      <c r="T9" s="51"/>
      <c r="U9" s="51"/>
      <c r="V9" s="51"/>
      <c r="W9" s="51"/>
      <c r="X9" s="52"/>
    </row>
    <row r="10" spans="1:24" ht="16.5" customHeight="1">
      <c r="B10" s="53"/>
      <c r="P10" s="50"/>
      <c r="Q10" s="51"/>
      <c r="R10" s="51"/>
      <c r="S10" s="51"/>
      <c r="T10" s="51"/>
      <c r="U10" s="51"/>
      <c r="V10" s="51"/>
      <c r="W10" s="51"/>
      <c r="X10" s="52"/>
    </row>
    <row r="11" spans="1:24" ht="16.5" customHeight="1">
      <c r="B11" s="53"/>
      <c r="P11" s="50"/>
      <c r="Q11" s="54" t="s">
        <v>61</v>
      </c>
      <c r="R11" s="51"/>
      <c r="S11" s="51"/>
      <c r="T11" s="51"/>
      <c r="U11" s="51"/>
      <c r="V11" s="51"/>
      <c r="W11" s="51"/>
      <c r="X11" s="52"/>
    </row>
    <row r="12" spans="1:24" ht="16.5" customHeight="1">
      <c r="B12" s="53"/>
      <c r="P12" s="50"/>
      <c r="Q12" s="51"/>
      <c r="R12" s="51"/>
      <c r="S12" s="51"/>
      <c r="T12" s="51"/>
      <c r="U12" s="51"/>
      <c r="V12" s="51"/>
      <c r="W12" s="51"/>
      <c r="X12" s="52"/>
    </row>
    <row r="13" spans="1:24" ht="17.25" customHeight="1">
      <c r="B13" s="53"/>
      <c r="P13" s="50"/>
      <c r="Q13" s="54" t="s">
        <v>60</v>
      </c>
      <c r="R13" s="51"/>
      <c r="S13" s="51"/>
      <c r="T13" s="51"/>
      <c r="U13" s="51"/>
      <c r="V13" s="51"/>
      <c r="W13" s="51"/>
      <c r="X13" s="52"/>
    </row>
    <row r="14" spans="1:24" ht="16.5" customHeight="1">
      <c r="B14" s="53"/>
      <c r="P14" s="50"/>
      <c r="Q14" s="51"/>
      <c r="R14" s="51"/>
      <c r="S14" s="51"/>
      <c r="T14" s="51"/>
      <c r="U14" s="51"/>
      <c r="V14" s="51"/>
      <c r="W14" s="51"/>
      <c r="X14" s="52"/>
    </row>
    <row r="15" spans="1:24" ht="16.5" customHeight="1">
      <c r="A15" s="55"/>
      <c r="B15" s="5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0"/>
      <c r="Q15" s="51"/>
      <c r="R15" s="54" t="s">
        <v>59</v>
      </c>
      <c r="S15" s="51"/>
      <c r="T15" s="51"/>
      <c r="U15" s="54" t="s">
        <v>59</v>
      </c>
      <c r="V15" s="51"/>
      <c r="W15" s="51"/>
      <c r="X15" s="52"/>
    </row>
    <row r="16" spans="1:24" ht="16.5" customHeight="1">
      <c r="A16" s="55"/>
      <c r="B16" s="56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0"/>
      <c r="Q16" s="51"/>
      <c r="R16" s="51"/>
      <c r="S16" s="51"/>
      <c r="T16" s="51"/>
      <c r="U16" s="51"/>
      <c r="V16" s="51"/>
      <c r="W16" s="51"/>
      <c r="X16" s="52"/>
    </row>
    <row r="17" spans="1:24" ht="16.5" customHeight="1">
      <c r="A17" s="55"/>
      <c r="B17" s="56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0"/>
      <c r="Q17" s="51"/>
      <c r="R17" s="51"/>
      <c r="S17" s="51"/>
      <c r="T17" s="51"/>
      <c r="U17" s="51"/>
      <c r="V17" s="51"/>
      <c r="W17" s="51"/>
      <c r="X17" s="52"/>
    </row>
    <row r="18" spans="1:24" ht="22.5" customHeight="1">
      <c r="A18" s="55"/>
      <c r="B18" s="56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0"/>
      <c r="Q18" s="51"/>
      <c r="R18" s="51"/>
      <c r="S18" s="51"/>
      <c r="T18" s="51"/>
      <c r="U18" s="51"/>
      <c r="V18" s="51"/>
      <c r="W18" s="51"/>
      <c r="X18" s="52"/>
    </row>
    <row r="19" spans="1:24" ht="87" customHeight="1">
      <c r="A19" s="57"/>
      <c r="B19" s="58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5"/>
      <c r="O19" s="55"/>
      <c r="P19" s="59"/>
      <c r="Q19" s="60"/>
      <c r="R19" s="60"/>
      <c r="S19" s="60"/>
      <c r="T19" s="60"/>
      <c r="U19" s="60"/>
      <c r="V19" s="60"/>
      <c r="W19" s="60"/>
      <c r="X19" s="61"/>
    </row>
    <row r="20" spans="1:24" ht="9" customHeight="1">
      <c r="A20" s="57"/>
      <c r="B20" s="58"/>
      <c r="C20" s="57"/>
      <c r="D20" s="224"/>
      <c r="E20" s="57"/>
      <c r="F20" s="224"/>
      <c r="G20" s="57"/>
      <c r="H20" s="224"/>
      <c r="I20" s="57"/>
      <c r="J20" s="224"/>
      <c r="K20" s="57"/>
      <c r="L20" s="224"/>
      <c r="M20" s="57"/>
      <c r="N20" s="55"/>
      <c r="O20" s="55"/>
    </row>
    <row r="21" spans="1:24" ht="11.25" customHeight="1">
      <c r="A21" s="57"/>
      <c r="B21" s="58"/>
      <c r="C21" s="57"/>
      <c r="D21" s="224"/>
      <c r="E21" s="57"/>
      <c r="F21" s="224"/>
      <c r="G21" s="57"/>
      <c r="H21" s="224"/>
      <c r="I21" s="57"/>
      <c r="J21" s="224"/>
      <c r="K21" s="57"/>
      <c r="L21" s="224"/>
      <c r="M21" s="57"/>
      <c r="N21" s="55"/>
      <c r="O21" s="55"/>
    </row>
    <row r="22" spans="1:24" ht="3.75" customHeight="1">
      <c r="A22" s="57"/>
      <c r="B22" s="58"/>
      <c r="C22" s="57"/>
      <c r="D22" s="62"/>
      <c r="E22" s="57"/>
      <c r="F22" s="62"/>
      <c r="G22" s="57"/>
      <c r="H22" s="62"/>
      <c r="I22" s="57"/>
      <c r="J22" s="62"/>
      <c r="K22" s="57"/>
      <c r="L22" s="62"/>
      <c r="M22" s="57"/>
      <c r="N22" s="55"/>
      <c r="O22" s="55"/>
    </row>
    <row r="23" spans="1:24" ht="9" customHeight="1">
      <c r="A23" s="57"/>
      <c r="B23" s="58"/>
      <c r="C23" s="57"/>
      <c r="D23" s="224"/>
      <c r="E23" s="57"/>
      <c r="F23" s="224"/>
      <c r="G23" s="57"/>
      <c r="H23" s="224"/>
      <c r="I23" s="57"/>
      <c r="J23" s="224"/>
      <c r="K23" s="57"/>
      <c r="L23" s="224"/>
      <c r="M23" s="57"/>
      <c r="N23" s="55"/>
      <c r="O23" s="55"/>
    </row>
    <row r="24" spans="1:24" ht="9" customHeight="1">
      <c r="A24" s="57"/>
      <c r="B24" s="58"/>
      <c r="C24" s="57"/>
      <c r="D24" s="224"/>
      <c r="E24" s="57"/>
      <c r="F24" s="224"/>
      <c r="G24" s="57"/>
      <c r="H24" s="224"/>
      <c r="I24" s="57"/>
      <c r="J24" s="224"/>
      <c r="K24" s="57"/>
      <c r="L24" s="224"/>
      <c r="M24" s="57"/>
      <c r="N24" s="55"/>
      <c r="O24" s="55"/>
    </row>
    <row r="25" spans="1:24" ht="16.5" customHeight="1">
      <c r="A25" s="55"/>
      <c r="B25" s="56"/>
      <c r="C25" s="63"/>
      <c r="D25" s="63"/>
      <c r="E25" s="63"/>
      <c r="F25" s="63"/>
      <c r="G25" s="63"/>
      <c r="H25" s="63"/>
      <c r="I25" s="63"/>
      <c r="J25" s="63"/>
      <c r="K25" s="63"/>
      <c r="L25" s="55"/>
      <c r="M25" s="55"/>
      <c r="N25" s="55"/>
      <c r="O25" s="55"/>
    </row>
    <row r="26" spans="1:24" ht="8.2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</row>
    <row r="27" spans="1:24" ht="6.75" customHeight="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</row>
    <row r="28" spans="1:24" ht="6" customHeight="1">
      <c r="A28" s="64"/>
      <c r="B28" s="64"/>
      <c r="C28" s="6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</row>
    <row r="29" spans="1:24" ht="4.5" customHeight="1">
      <c r="A29" s="64"/>
      <c r="B29" s="64"/>
      <c r="C29" s="6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</row>
    <row r="30" spans="1:24" ht="6" customHeight="1">
      <c r="A30" s="64"/>
      <c r="B30" s="64"/>
      <c r="C30" s="64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</row>
    <row r="31" spans="1:24" ht="6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</row>
    <row r="32" spans="1:24" ht="4.5" customHeight="1">
      <c r="A32" s="55"/>
      <c r="B32" s="55"/>
      <c r="C32" s="55"/>
      <c r="D32" s="55"/>
      <c r="E32" s="55"/>
      <c r="F32" s="55"/>
      <c r="G32" s="66"/>
      <c r="H32" s="66"/>
      <c r="I32" s="66"/>
      <c r="J32" s="66"/>
      <c r="K32" s="66"/>
      <c r="L32" s="55"/>
      <c r="M32" s="55"/>
      <c r="N32" s="55"/>
      <c r="O32" s="55"/>
    </row>
    <row r="33" spans="1:15" ht="18" customHeight="1">
      <c r="A33" s="67"/>
      <c r="B33" s="67"/>
      <c r="C33" s="67"/>
      <c r="D33" s="67"/>
      <c r="E33" s="67"/>
      <c r="F33" s="66"/>
      <c r="G33" s="66"/>
      <c r="H33" s="66"/>
      <c r="I33" s="66"/>
      <c r="J33" s="66"/>
      <c r="K33" s="66"/>
      <c r="L33" s="55"/>
      <c r="M33" s="55"/>
      <c r="N33" s="55"/>
      <c r="O33" s="55"/>
    </row>
    <row r="34" spans="1:15">
      <c r="A34" s="67"/>
      <c r="B34" s="67"/>
      <c r="C34" s="67"/>
      <c r="D34" s="67"/>
      <c r="E34" s="67"/>
      <c r="F34" s="66"/>
      <c r="G34" s="66"/>
      <c r="H34" s="66"/>
      <c r="I34" s="66"/>
      <c r="J34" s="66"/>
      <c r="K34" s="66"/>
      <c r="L34" s="55"/>
      <c r="M34" s="55"/>
      <c r="N34" s="55"/>
      <c r="O34" s="55"/>
    </row>
    <row r="35" spans="1:15">
      <c r="A35" s="67"/>
      <c r="B35" s="67"/>
      <c r="C35" s="67"/>
      <c r="D35" s="67"/>
      <c r="E35" s="67"/>
      <c r="F35" s="66"/>
      <c r="G35" s="66"/>
      <c r="H35" s="66"/>
      <c r="I35" s="66"/>
      <c r="J35" s="66"/>
      <c r="K35" s="66"/>
      <c r="L35" s="55"/>
      <c r="M35" s="55"/>
      <c r="N35" s="55"/>
      <c r="O35" s="55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1FF4-2BBC-4180-8D40-B2150CCB33C0}">
  <sheetPr>
    <tabColor theme="7" tint="0.59999389629810485"/>
  </sheetPr>
  <dimension ref="B1:AU260"/>
  <sheetViews>
    <sheetView showGridLines="0" zoomScale="85" zoomScaleNormal="85" zoomScalePageLayoutView="150" workbookViewId="0">
      <pane xSplit="3" ySplit="10" topLeftCell="D11" activePane="bottomRight" state="frozen"/>
      <selection activeCell="A24" sqref="A24:XFD24"/>
      <selection pane="topRight" activeCell="A24" sqref="A24:XFD24"/>
      <selection pane="bottomLeft" activeCell="A24" sqref="A24:XFD24"/>
      <selection pane="bottomRight" activeCell="AU22" sqref="AU22"/>
    </sheetView>
  </sheetViews>
  <sheetFormatPr baseColWidth="10" defaultColWidth="11.42578125" defaultRowHeight="15" outlineLevelRow="1" outlineLevelCol="2"/>
  <cols>
    <col min="1" max="1" width="5.42578125" style="2" customWidth="1"/>
    <col min="2" max="2" width="39.7109375" style="2" customWidth="1"/>
    <col min="3" max="3" width="42.140625" style="17" customWidth="1"/>
    <col min="4" max="23" width="9.42578125" style="2" hidden="1" customWidth="1" outlineLevel="2"/>
    <col min="24" max="31" width="9.42578125" style="2" hidden="1" customWidth="1" outlineLevel="1"/>
    <col min="32" max="32" width="9.42578125" style="2" customWidth="1" collapsed="1"/>
    <col min="33" max="44" width="9.42578125" style="2" customWidth="1"/>
    <col min="45" max="16384" width="11.42578125" style="2"/>
  </cols>
  <sheetData>
    <row r="1" spans="2:44" s="83" customFormat="1" ht="23.25" customHeight="1">
      <c r="B1" s="79" t="s">
        <v>58</v>
      </c>
      <c r="C1" s="95" t="s">
        <v>67</v>
      </c>
      <c r="D1" s="96"/>
      <c r="E1" s="96"/>
      <c r="F1" s="96"/>
      <c r="G1" s="96"/>
      <c r="H1" s="96"/>
      <c r="I1" s="96"/>
      <c r="J1" s="96"/>
      <c r="K1" s="97"/>
      <c r="AK1" s="38"/>
      <c r="AL1" s="84"/>
    </row>
    <row r="2" spans="2:44" s="83" customFormat="1" ht="23.25" customHeight="1">
      <c r="B2" s="79" t="s">
        <v>56</v>
      </c>
      <c r="C2" s="95" t="s">
        <v>78</v>
      </c>
      <c r="D2" s="96"/>
      <c r="E2" s="96"/>
      <c r="F2" s="96"/>
      <c r="G2" s="96"/>
      <c r="H2" s="96"/>
      <c r="I2" s="96"/>
      <c r="J2" s="96"/>
      <c r="K2" s="97"/>
      <c r="AK2" s="38"/>
    </row>
    <row r="3" spans="2:44" s="83" customFormat="1" ht="23.25" customHeight="1">
      <c r="B3" s="79" t="s">
        <v>55</v>
      </c>
      <c r="C3" s="98">
        <f ca="1">TODAY()</f>
        <v>45727</v>
      </c>
      <c r="D3" s="99"/>
      <c r="E3" s="99"/>
      <c r="F3" s="99"/>
      <c r="G3" s="99"/>
      <c r="H3" s="99"/>
      <c r="I3" s="99"/>
      <c r="J3" s="99"/>
      <c r="K3" s="99"/>
      <c r="AK3" s="38"/>
    </row>
    <row r="4" spans="2:44" s="83" customFormat="1" ht="23.25" customHeight="1">
      <c r="B4" s="79" t="s">
        <v>54</v>
      </c>
      <c r="C4" s="95" t="s">
        <v>102</v>
      </c>
      <c r="D4" s="96"/>
      <c r="E4" s="96"/>
      <c r="F4" s="96"/>
      <c r="G4" s="96"/>
      <c r="H4" s="96"/>
      <c r="I4" s="96"/>
      <c r="J4" s="96"/>
      <c r="K4" s="97"/>
    </row>
    <row r="5" spans="2:44" s="83" customFormat="1" ht="23.25" customHeight="1">
      <c r="B5" s="79" t="s">
        <v>53</v>
      </c>
      <c r="C5" s="95" t="s">
        <v>65</v>
      </c>
      <c r="D5" s="96"/>
      <c r="E5" s="96"/>
      <c r="F5" s="96"/>
      <c r="G5" s="96"/>
      <c r="H5" s="96"/>
      <c r="I5" s="96"/>
      <c r="J5" s="96"/>
      <c r="K5" s="97"/>
    </row>
    <row r="6" spans="2:44" s="83" customFormat="1" ht="23.25" customHeight="1">
      <c r="B6" s="79" t="s">
        <v>52</v>
      </c>
      <c r="C6" s="95"/>
      <c r="D6" s="96"/>
      <c r="E6" s="96"/>
      <c r="F6" s="96"/>
      <c r="G6" s="96"/>
      <c r="H6" s="96"/>
      <c r="I6" s="96"/>
      <c r="J6" s="96"/>
      <c r="K6" s="97"/>
      <c r="AK6" s="38"/>
    </row>
    <row r="7" spans="2:44">
      <c r="B7" s="80"/>
      <c r="C7" s="81"/>
      <c r="D7" s="80"/>
      <c r="E7" s="80"/>
      <c r="F7" s="80"/>
      <c r="G7" s="80"/>
      <c r="H7" s="80"/>
      <c r="I7" s="80"/>
      <c r="J7" s="80"/>
      <c r="K7" s="80"/>
    </row>
    <row r="8" spans="2:44" ht="14.25" customHeight="1">
      <c r="B8" s="1"/>
      <c r="C8" s="11"/>
    </row>
    <row r="9" spans="2:44" ht="22.5" customHeight="1">
      <c r="B9" s="3"/>
      <c r="C9" s="12"/>
      <c r="D9" s="24"/>
      <c r="E9" s="2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69</v>
      </c>
      <c r="C10" s="13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s="150" customFormat="1">
      <c r="B11" s="153" t="s">
        <v>278</v>
      </c>
      <c r="C11" s="22" t="s">
        <v>63</v>
      </c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>
        <f>SUM(X12:X18)</f>
        <v>930.24982622466905</v>
      </c>
      <c r="Y11" s="170">
        <f t="shared" ref="Y11:AL11" si="0">SUM(Y12:Y18)</f>
        <v>906.73516014846973</v>
      </c>
      <c r="Z11" s="170">
        <f t="shared" si="0"/>
        <v>916.99718521293926</v>
      </c>
      <c r="AA11" s="170">
        <f t="shared" si="0"/>
        <v>933.98593201660879</v>
      </c>
      <c r="AB11" s="170">
        <f t="shared" si="0"/>
        <v>893.54948646293417</v>
      </c>
      <c r="AC11" s="170">
        <f t="shared" si="0"/>
        <v>901.8259981888657</v>
      </c>
      <c r="AD11" s="170">
        <f t="shared" si="0"/>
        <v>897.2872266037499</v>
      </c>
      <c r="AE11" s="170">
        <f t="shared" si="0"/>
        <v>882.23205367278956</v>
      </c>
      <c r="AF11" s="170">
        <f t="shared" si="0"/>
        <v>852.85834189211619</v>
      </c>
      <c r="AG11" s="170">
        <f t="shared" si="0"/>
        <v>798.04805134671517</v>
      </c>
      <c r="AH11" s="170">
        <f t="shared" si="0"/>
        <v>732.993341731275</v>
      </c>
      <c r="AI11" s="170">
        <f t="shared" si="0"/>
        <v>761.42675498079984</v>
      </c>
      <c r="AJ11" s="170">
        <f t="shared" si="0"/>
        <v>748.79271341377705</v>
      </c>
      <c r="AK11" s="170">
        <f t="shared" si="0"/>
        <v>672.0203245275942</v>
      </c>
      <c r="AL11" s="170">
        <f t="shared" si="0"/>
        <v>649.05865929244578</v>
      </c>
      <c r="AM11" s="170"/>
      <c r="AN11" s="170"/>
      <c r="AO11" s="170"/>
      <c r="AP11" s="170"/>
      <c r="AQ11" s="170"/>
      <c r="AR11" s="170"/>
    </row>
    <row r="12" spans="2:44" s="10" customFormat="1" ht="18.75" customHeight="1">
      <c r="B12" s="5" t="s">
        <v>8</v>
      </c>
      <c r="C12" s="20" t="s">
        <v>63</v>
      </c>
      <c r="D12" s="21">
        <f>(THG!D9)/1000</f>
        <v>474.77220432062688</v>
      </c>
      <c r="E12" s="21">
        <f>(THG!E9)/1000</f>
        <v>459.94485788760244</v>
      </c>
      <c r="F12" s="21">
        <f>(THG!F9)/1000</f>
        <v>435.6750083566215</v>
      </c>
      <c r="G12" s="21">
        <f>(THG!G9)/1000</f>
        <v>425.92488838227894</v>
      </c>
      <c r="H12" s="21">
        <f>(THG!H9)/1000</f>
        <v>420.01432191734034</v>
      </c>
      <c r="I12" s="21">
        <f>(THG!I9)/1000</f>
        <v>406.93598225156478</v>
      </c>
      <c r="J12" s="21">
        <f>(THG!J9)/1000</f>
        <v>412.87203705447979</v>
      </c>
      <c r="K12" s="21">
        <f>(THG!K9)/1000</f>
        <v>391.00900720995315</v>
      </c>
      <c r="L12" s="21">
        <f>(THG!L9)/1000</f>
        <v>390.95946894831872</v>
      </c>
      <c r="M12" s="21">
        <f>(THG!M9)/1000</f>
        <v>379.98786231606846</v>
      </c>
      <c r="N12" s="21">
        <f>(THG!N9)/1000</f>
        <v>390.84367773868405</v>
      </c>
      <c r="O12" s="21">
        <f>(THG!O9)/1000</f>
        <v>400.84131582847908</v>
      </c>
      <c r="P12" s="21">
        <f>(THG!P9)/1000</f>
        <v>400.95639258131467</v>
      </c>
      <c r="Q12" s="21">
        <f>(THG!Q9)/1000</f>
        <v>416.99850586833435</v>
      </c>
      <c r="R12" s="21">
        <f>(THG!R9)/1000</f>
        <v>411.60083483799747</v>
      </c>
      <c r="S12" s="21">
        <f>(THG!S9)/1000</f>
        <v>402.60094170216644</v>
      </c>
      <c r="T12" s="21">
        <f>(THG!T9)/1000</f>
        <v>403.12692360359995</v>
      </c>
      <c r="U12" s="21">
        <f>(THG!U9)/1000</f>
        <v>406.0349079138669</v>
      </c>
      <c r="V12" s="21">
        <f>(THG!V9)/1000</f>
        <v>388.01231817760117</v>
      </c>
      <c r="W12" s="21">
        <f>(THG!W9)/1000</f>
        <v>361.91391669621538</v>
      </c>
      <c r="X12" s="21">
        <f>(THG!X9)/1000</f>
        <v>372.63707419132606</v>
      </c>
      <c r="Y12" s="21">
        <f>(THG!Y9)/1000</f>
        <v>367.70970245773702</v>
      </c>
      <c r="Z12" s="21">
        <f>(THG!Z9)/1000</f>
        <v>379.34788118184304</v>
      </c>
      <c r="AA12" s="21">
        <f>(THG!AA9)/1000</f>
        <v>383.70231874884473</v>
      </c>
      <c r="AB12" s="21">
        <f>(THG!AB9)/1000</f>
        <v>362.725928282155</v>
      </c>
      <c r="AC12" s="21">
        <f>(THG!AC9)/1000</f>
        <v>351.32140085469337</v>
      </c>
      <c r="AD12" s="21">
        <f>(THG!AD9)/1000</f>
        <v>346.32871761389902</v>
      </c>
      <c r="AE12" s="21">
        <f>(THG!AE9)/1000</f>
        <v>326.50069104369044</v>
      </c>
      <c r="AF12" s="21">
        <f>(THG!AF9)/1000</f>
        <v>310.8510664619198</v>
      </c>
      <c r="AG12" s="21">
        <f>(THG!AG9)/1000</f>
        <v>258.28302963996083</v>
      </c>
      <c r="AH12" s="164">
        <f>(THG!AH9)/1000</f>
        <v>219.03765428068593</v>
      </c>
      <c r="AI12" s="164">
        <f>(THG!AI9)/1000</f>
        <v>246.421430453738</v>
      </c>
      <c r="AJ12" s="164">
        <f>(THG!AJ9)/1000</f>
        <v>256.67041825982216</v>
      </c>
      <c r="AK12" s="164">
        <f>(THG!AK9)/1000</f>
        <v>202.58241705156237</v>
      </c>
      <c r="AL12" s="164">
        <f>(THG!AL9)/1000</f>
        <v>184.99388634258281</v>
      </c>
      <c r="AM12" s="27"/>
      <c r="AN12" s="27"/>
      <c r="AO12" s="27"/>
      <c r="AP12" s="27"/>
      <c r="AQ12" s="27"/>
      <c r="AR12" s="27"/>
    </row>
    <row r="13" spans="2:44" ht="18.75" customHeight="1">
      <c r="B13" s="6" t="s">
        <v>9</v>
      </c>
      <c r="C13" s="22" t="s">
        <v>63</v>
      </c>
      <c r="D13" s="82">
        <f>(THG!D14)/1000</f>
        <v>277.7030828141236</v>
      </c>
      <c r="E13" s="82">
        <f>(THG!E14)/1000</f>
        <v>252.3759643288675</v>
      </c>
      <c r="F13" s="82">
        <f>(THG!F14)/1000</f>
        <v>241.06698950376713</v>
      </c>
      <c r="G13" s="82">
        <f>(THG!G14)/1000</f>
        <v>231.34568923747653</v>
      </c>
      <c r="H13" s="82">
        <f>(THG!H14)/1000</f>
        <v>234.90362143561188</v>
      </c>
      <c r="I13" s="82">
        <f>(THG!I14)/1000</f>
        <v>236.78528481656502</v>
      </c>
      <c r="J13" s="82">
        <f>(THG!J14)/1000</f>
        <v>225.57071931643364</v>
      </c>
      <c r="K13" s="82">
        <f>(THG!K14)/1000</f>
        <v>230.12972744884351</v>
      </c>
      <c r="L13" s="82">
        <f>(THG!L14)/1000</f>
        <v>213.14065542267767</v>
      </c>
      <c r="M13" s="82">
        <f>(THG!M14)/1000</f>
        <v>203.03184220372023</v>
      </c>
      <c r="N13" s="82">
        <f>(THG!N14)/1000</f>
        <v>202.59785035506664</v>
      </c>
      <c r="O13" s="82">
        <f>(THG!O14)/1000</f>
        <v>191.9757813343426</v>
      </c>
      <c r="P13" s="82">
        <f>(THG!P14)/1000</f>
        <v>189.76124792463227</v>
      </c>
      <c r="Q13" s="82">
        <f>(THG!Q14)/1000</f>
        <v>189.09781904205934</v>
      </c>
      <c r="R13" s="82">
        <f>(THG!R14)/1000</f>
        <v>189.12105735574218</v>
      </c>
      <c r="S13" s="82">
        <f>(THG!S14)/1000</f>
        <v>186.38010528444084</v>
      </c>
      <c r="T13" s="82">
        <f>(THG!T14)/1000</f>
        <v>190.92928168808112</v>
      </c>
      <c r="U13" s="82">
        <f>(THG!U14)/1000</f>
        <v>199.08093744502912</v>
      </c>
      <c r="V13" s="82">
        <f>(THG!V14)/1000</f>
        <v>195.58361002161675</v>
      </c>
      <c r="W13" s="82">
        <f>(THG!W14)/1000</f>
        <v>169.9450876249542</v>
      </c>
      <c r="X13" s="82">
        <f>(THG!X14)/1000</f>
        <v>184.05948457331422</v>
      </c>
      <c r="Y13" s="82">
        <f>(THG!Y14)/1000</f>
        <v>182.19594994908741</v>
      </c>
      <c r="Z13" s="82">
        <f>(THG!Z14)/1000</f>
        <v>177.38101732424116</v>
      </c>
      <c r="AA13" s="82">
        <f>(THG!AA14)/1000</f>
        <v>177.04641104837395</v>
      </c>
      <c r="AB13" s="82">
        <f>(THG!AB14)/1000</f>
        <v>176.28929367334746</v>
      </c>
      <c r="AC13" s="82">
        <f>(THG!AC14)/1000</f>
        <v>183.01875305607606</v>
      </c>
      <c r="AD13" s="82">
        <f>(THG!AD14)/1000</f>
        <v>186.83780660551463</v>
      </c>
      <c r="AE13" s="82">
        <f>(THG!AE14)/1000</f>
        <v>192.58411720378123</v>
      </c>
      <c r="AF13" s="82">
        <f>(THG!AF14)/1000</f>
        <v>184.96605950656451</v>
      </c>
      <c r="AG13" s="82">
        <f>(THG!AG14)/1000</f>
        <v>179.31832500051271</v>
      </c>
      <c r="AH13" s="170">
        <f>(THG!AH14)/1000</f>
        <v>172.5772476282672</v>
      </c>
      <c r="AI13" s="170">
        <f>(THG!AI14)/1000</f>
        <v>180.29299681195212</v>
      </c>
      <c r="AJ13" s="170">
        <f>(THG!AJ14)/1000</f>
        <v>164.3651491960417</v>
      </c>
      <c r="AK13" s="170">
        <f>(THG!AK14)/1000</f>
        <v>152.92373867221883</v>
      </c>
      <c r="AL13" s="170">
        <f>(THG!AL14)/1000</f>
        <v>153.00727310826122</v>
      </c>
      <c r="AM13" s="26"/>
      <c r="AN13" s="26"/>
      <c r="AO13" s="26"/>
      <c r="AP13" s="26"/>
      <c r="AQ13" s="26"/>
      <c r="AR13" s="26"/>
    </row>
    <row r="14" spans="2:44" ht="18.75" customHeight="1">
      <c r="B14" s="35" t="s">
        <v>10</v>
      </c>
      <c r="C14" s="36" t="s">
        <v>63</v>
      </c>
      <c r="D14" s="21">
        <f>(THG!D21)/1000</f>
        <v>210.02731690962818</v>
      </c>
      <c r="E14" s="21">
        <f>(THG!E21)/1000</f>
        <v>208.43229499818264</v>
      </c>
      <c r="F14" s="21">
        <f>(THG!F21)/1000</f>
        <v>190.27747448718816</v>
      </c>
      <c r="G14" s="21">
        <f>(THG!G21)/1000</f>
        <v>197.00633128836631</v>
      </c>
      <c r="H14" s="21">
        <f>(THG!H21)/1000</f>
        <v>186.22497845574915</v>
      </c>
      <c r="I14" s="21">
        <f>(THG!I21)/1000</f>
        <v>187.71141388219434</v>
      </c>
      <c r="J14" s="21">
        <f>(THG!J21)/1000</f>
        <v>210.88496426407156</v>
      </c>
      <c r="K14" s="21">
        <f>(THG!K21)/1000</f>
        <v>197.65454104077065</v>
      </c>
      <c r="L14" s="21">
        <f>(THG!L21)/1000</f>
        <v>189.5109555123064</v>
      </c>
      <c r="M14" s="21">
        <f>(THG!M21)/1000</f>
        <v>172.83156155428856</v>
      </c>
      <c r="N14" s="21">
        <f>(THG!N21)/1000</f>
        <v>166.78955078696234</v>
      </c>
      <c r="O14" s="21">
        <f>(THG!O21)/1000</f>
        <v>187.07952935138243</v>
      </c>
      <c r="P14" s="21">
        <f>(THG!P21)/1000</f>
        <v>174.08090022703956</v>
      </c>
      <c r="Q14" s="21">
        <f>(THG!Q21)/1000</f>
        <v>161.40351842421612</v>
      </c>
      <c r="R14" s="21">
        <f>(THG!R21)/1000</f>
        <v>153.22395620302893</v>
      </c>
      <c r="S14" s="21">
        <f>(THG!S21)/1000</f>
        <v>157.33087762895428</v>
      </c>
      <c r="T14" s="21">
        <f>(THG!T21)/1000</f>
        <v>163.7482479631976</v>
      </c>
      <c r="U14" s="21">
        <f>(THG!U21)/1000</f>
        <v>122.05723154044206</v>
      </c>
      <c r="V14" s="21">
        <f>(THG!V21)/1000</f>
        <v>147.25169074958632</v>
      </c>
      <c r="W14" s="21">
        <f>(THG!W21)/1000</f>
        <v>137.174290129832</v>
      </c>
      <c r="X14" s="21">
        <f>(THG!X21)/1000</f>
        <v>142.93341752797332</v>
      </c>
      <c r="Y14" s="21">
        <f>(THG!Y21)/1000</f>
        <v>124.65741541667212</v>
      </c>
      <c r="Z14" s="21">
        <f>(THG!Z21)/1000</f>
        <v>130.36904622321549</v>
      </c>
      <c r="AA14" s="21">
        <f>(THG!AA21)/1000</f>
        <v>139.10951038067077</v>
      </c>
      <c r="AB14" s="21">
        <f>(THG!AB21)/1000</f>
        <v>120.28892829877765</v>
      </c>
      <c r="AC14" s="21">
        <f>(THG!AC21)/1000</f>
        <v>126.23930646152454</v>
      </c>
      <c r="AD14" s="21">
        <f>(THG!AD21)/1000</f>
        <v>121.50468550106342</v>
      </c>
      <c r="AE14" s="21">
        <f>(THG!AE21)/1000</f>
        <v>121.12996153484768</v>
      </c>
      <c r="AF14" s="21">
        <f>(THG!AF21)/1000</f>
        <v>116.10950283078863</v>
      </c>
      <c r="AG14" s="21">
        <f>(THG!AG21)/1000</f>
        <v>122.2961261778985</v>
      </c>
      <c r="AH14" s="164">
        <f>(THG!AH21)/1000</f>
        <v>122.49711358722101</v>
      </c>
      <c r="AI14" s="164">
        <f>(THG!AI21)/1000</f>
        <v>119.28678221917644</v>
      </c>
      <c r="AJ14" s="164">
        <f>(THG!AJ21)/1000</f>
        <v>110.51463428514957</v>
      </c>
      <c r="AK14" s="164">
        <f>(THG!AK21)/1000</f>
        <v>102.93300019870455</v>
      </c>
      <c r="AL14" s="164">
        <f>(THG!AL21)/1000</f>
        <v>100.5362340247776</v>
      </c>
      <c r="AM14" s="27"/>
      <c r="AN14" s="27"/>
      <c r="AO14" s="27"/>
      <c r="AP14" s="27"/>
      <c r="AQ14" s="27"/>
      <c r="AR14" s="27"/>
    </row>
    <row r="15" spans="2:44" ht="18.75" customHeight="1">
      <c r="B15" s="6" t="s">
        <v>14</v>
      </c>
      <c r="C15" s="22" t="s">
        <v>63</v>
      </c>
      <c r="D15" s="82">
        <f>(THG!D26)/1000</f>
        <v>163.35536656567436</v>
      </c>
      <c r="E15" s="82">
        <f>(THG!E26)/1000</f>
        <v>166.30323541426711</v>
      </c>
      <c r="F15" s="82">
        <f>(THG!F26)/1000</f>
        <v>172.16793098221859</v>
      </c>
      <c r="G15" s="82">
        <f>(THG!G26)/1000</f>
        <v>176.49286153080547</v>
      </c>
      <c r="H15" s="82">
        <f>(THG!H26)/1000</f>
        <v>172.46321803963471</v>
      </c>
      <c r="I15" s="82">
        <f>(THG!I26)/1000</f>
        <v>176.12247581564034</v>
      </c>
      <c r="J15" s="82">
        <f>(THG!J26)/1000</f>
        <v>175.70637719000189</v>
      </c>
      <c r="K15" s="82">
        <f>(THG!K26)/1000</f>
        <v>176.12093224476894</v>
      </c>
      <c r="L15" s="82">
        <f>(THG!L26)/1000</f>
        <v>179.39653155795173</v>
      </c>
      <c r="M15" s="82">
        <f>(THG!M26)/1000</f>
        <v>184.52966147660155</v>
      </c>
      <c r="N15" s="82">
        <f>(THG!N26)/1000</f>
        <v>180.58638104834094</v>
      </c>
      <c r="O15" s="82">
        <f>(THG!O26)/1000</f>
        <v>176.69376623778118</v>
      </c>
      <c r="P15" s="82">
        <f>(THG!P26)/1000</f>
        <v>174.183316555429</v>
      </c>
      <c r="Q15" s="82">
        <f>(THG!Q26)/1000</f>
        <v>165.21587860522547</v>
      </c>
      <c r="R15" s="82">
        <f>(THG!R26)/1000</f>
        <v>159.62934165772</v>
      </c>
      <c r="S15" s="82">
        <f>(THG!S26)/1000</f>
        <v>155.55923573389376</v>
      </c>
      <c r="T15" s="82">
        <f>(THG!T26)/1000</f>
        <v>160.27751039308768</v>
      </c>
      <c r="U15" s="82">
        <f>(THG!U26)/1000</f>
        <v>152.43839757481345</v>
      </c>
      <c r="V15" s="82">
        <f>(THG!V26)/1000</f>
        <v>157.36210474090399</v>
      </c>
      <c r="W15" s="82">
        <f>(THG!W26)/1000</f>
        <v>151.98056305632267</v>
      </c>
      <c r="X15" s="82">
        <f>(THG!X26)/1000</f>
        <v>150.44816555507819</v>
      </c>
      <c r="Y15" s="82">
        <f>(THG!Y26)/1000</f>
        <v>152.30492939454015</v>
      </c>
      <c r="Z15" s="82">
        <f>(THG!Z26)/1000</f>
        <v>150.64147898377649</v>
      </c>
      <c r="AA15" s="82">
        <f>(THG!AA26)/1000</f>
        <v>154.68203767280488</v>
      </c>
      <c r="AB15" s="82">
        <f>(THG!AB26)/1000</f>
        <v>153.85280678059556</v>
      </c>
      <c r="AC15" s="82">
        <f>(THG!AC26)/1000</f>
        <v>161.68112466493332</v>
      </c>
      <c r="AD15" s="82">
        <f>(THG!AD26)/1000</f>
        <v>163.80382202437119</v>
      </c>
      <c r="AE15" s="82">
        <f>(THG!AE26)/1000</f>
        <v>165.17642155141422</v>
      </c>
      <c r="AF15" s="82">
        <f>(THG!AF26)/1000</f>
        <v>165.38061576785373</v>
      </c>
      <c r="AG15" s="82">
        <f>(THG!AG26)/1000</f>
        <v>164.32397006995399</v>
      </c>
      <c r="AH15" s="170">
        <f>(THG!AH26)/1000</f>
        <v>146.38574268349811</v>
      </c>
      <c r="AI15" s="170">
        <f>(THG!AI26)/1000</f>
        <v>144.5990299664432</v>
      </c>
      <c r="AJ15" s="170">
        <f>(THG!AJ26)/1000</f>
        <v>147.69087538349461</v>
      </c>
      <c r="AK15" s="170">
        <f>(THG!AK26)/1000</f>
        <v>145.13115862852723</v>
      </c>
      <c r="AL15" s="170">
        <f>(THG!AL26)/1000</f>
        <v>143.05476824815369</v>
      </c>
      <c r="AM15" s="26"/>
      <c r="AN15" s="26"/>
      <c r="AO15" s="26"/>
      <c r="AP15" s="26"/>
      <c r="AQ15" s="26"/>
      <c r="AR15" s="26"/>
    </row>
    <row r="16" spans="2:44" s="10" customFormat="1" ht="18.75" customHeight="1">
      <c r="B16" s="5" t="s">
        <v>15</v>
      </c>
      <c r="C16" s="20" t="s">
        <v>63</v>
      </c>
      <c r="D16" s="21">
        <f>(THG!D32)/1000</f>
        <v>84.989159157195388</v>
      </c>
      <c r="E16" s="21">
        <f>(THG!E32)/1000</f>
        <v>76.414722910866018</v>
      </c>
      <c r="F16" s="21">
        <f>(THG!F32)/1000</f>
        <v>74.196456761874998</v>
      </c>
      <c r="G16" s="21">
        <f>(THG!G32)/1000</f>
        <v>73.737009260326161</v>
      </c>
      <c r="H16" s="21">
        <f>(THG!H32)/1000</f>
        <v>73.708352552295224</v>
      </c>
      <c r="I16" s="21">
        <f>(THG!I32)/1000</f>
        <v>74.070770312600871</v>
      </c>
      <c r="J16" s="21">
        <f>(THG!J32)/1000</f>
        <v>75.722874919217702</v>
      </c>
      <c r="K16" s="21">
        <f>(THG!K32)/1000</f>
        <v>73.354393818033927</v>
      </c>
      <c r="L16" s="21">
        <f>(THG!L32)/1000</f>
        <v>72.729918002482592</v>
      </c>
      <c r="M16" s="21">
        <f>(THG!M32)/1000</f>
        <v>73.34390407395135</v>
      </c>
      <c r="N16" s="21">
        <f>(THG!N32)/1000</f>
        <v>71.957098586081315</v>
      </c>
      <c r="O16" s="21">
        <f>(THG!O32)/1000</f>
        <v>72.672208100070733</v>
      </c>
      <c r="P16" s="21">
        <f>(THG!P32)/1000</f>
        <v>70.326875222558328</v>
      </c>
      <c r="Q16" s="21">
        <f>(THG!Q32)/1000</f>
        <v>69.935715178059596</v>
      </c>
      <c r="R16" s="21">
        <f>(THG!R32)/1000</f>
        <v>68.241325940250007</v>
      </c>
      <c r="S16" s="21">
        <f>(THG!S32)/1000</f>
        <v>68.042400412697788</v>
      </c>
      <c r="T16" s="21">
        <f>(THG!T32)/1000</f>
        <v>67.427155463717369</v>
      </c>
      <c r="U16" s="21">
        <f>(THG!U32)/1000</f>
        <v>67.137703039660437</v>
      </c>
      <c r="V16" s="21">
        <f>(THG!V32)/1000</f>
        <v>67.986800413934574</v>
      </c>
      <c r="W16" s="21">
        <f>(THG!W32)/1000</f>
        <v>67.802208959146654</v>
      </c>
      <c r="X16" s="21">
        <f>(THG!X32)/1000</f>
        <v>67.979732572680106</v>
      </c>
      <c r="Y16" s="21">
        <f>(THG!Y32)/1000</f>
        <v>68.557851113472566</v>
      </c>
      <c r="Z16" s="21">
        <f>(THG!Z32)/1000</f>
        <v>68.774308158249795</v>
      </c>
      <c r="AA16" s="21">
        <f>(THG!AA32)/1000</f>
        <v>69.757923386340764</v>
      </c>
      <c r="AB16" s="21">
        <f>(THG!AB32)/1000</f>
        <v>71.330205942200607</v>
      </c>
      <c r="AC16" s="21">
        <f>(THG!AC32)/1000</f>
        <v>71.121936723247856</v>
      </c>
      <c r="AD16" s="21">
        <f>(THG!AD32)/1000</f>
        <v>70.907819051021434</v>
      </c>
      <c r="AE16" s="21">
        <f>(THG!AE32)/1000</f>
        <v>69.315035291692283</v>
      </c>
      <c r="AF16" s="21">
        <f>(THG!AF32)/1000</f>
        <v>68.419822064311361</v>
      </c>
      <c r="AG16" s="21">
        <f>(THG!AG32)/1000</f>
        <v>67.220276792805208</v>
      </c>
      <c r="AH16" s="164">
        <f>(THG!AH32)/1000</f>
        <v>66.374140111942722</v>
      </c>
      <c r="AI16" s="164">
        <f>(THG!AI32)/1000</f>
        <v>64.911079484091061</v>
      </c>
      <c r="AJ16" s="164">
        <f>(THG!AJ32)/1000</f>
        <v>63.902022380878968</v>
      </c>
      <c r="AK16" s="164">
        <f>(THG!AK32)/1000</f>
        <v>62.959986688698208</v>
      </c>
      <c r="AL16" s="164">
        <f>(THG!AL32)/1000</f>
        <v>62.110993623271767</v>
      </c>
      <c r="AM16" s="27"/>
      <c r="AN16" s="27"/>
      <c r="AO16" s="27"/>
      <c r="AP16" s="27"/>
      <c r="AQ16" s="27"/>
      <c r="AR16" s="27"/>
    </row>
    <row r="17" spans="2:47" s="10" customFormat="1" ht="18.75" customHeight="1">
      <c r="B17" s="6" t="s">
        <v>16</v>
      </c>
      <c r="C17" s="22" t="s">
        <v>63</v>
      </c>
      <c r="D17" s="82">
        <f>(THG!D42)/1000</f>
        <v>41.550208209684953</v>
      </c>
      <c r="E17" s="82">
        <f>(THG!E42)/1000</f>
        <v>43.096386910464247</v>
      </c>
      <c r="F17" s="82">
        <f>(THG!F42)/1000</f>
        <v>43.690552789579272</v>
      </c>
      <c r="G17" s="82">
        <f>(THG!G42)/1000</f>
        <v>43.410594571395734</v>
      </c>
      <c r="H17" s="82">
        <f>(THG!H42)/1000</f>
        <v>42.331817932506027</v>
      </c>
      <c r="I17" s="82">
        <f>(THG!I42)/1000</f>
        <v>41.064653718503017</v>
      </c>
      <c r="J17" s="82">
        <f>(THG!J42)/1000</f>
        <v>39.269523659810076</v>
      </c>
      <c r="K17" s="82">
        <f>(THG!K42)/1000</f>
        <v>35.964229901993093</v>
      </c>
      <c r="L17" s="82">
        <f>(THG!L42)/1000</f>
        <v>33.433339536685175</v>
      </c>
      <c r="M17" s="82">
        <f>(THG!M42)/1000</f>
        <v>31.44701707691074</v>
      </c>
      <c r="N17" s="82">
        <f>(THG!N42)/1000</f>
        <v>29.572460032452174</v>
      </c>
      <c r="O17" s="82">
        <f>(THG!O42)/1000</f>
        <v>27.56882034829254</v>
      </c>
      <c r="P17" s="82">
        <f>(THG!P42)/1000</f>
        <v>25.848040379858077</v>
      </c>
      <c r="Q17" s="82">
        <f>(THG!Q42)/1000</f>
        <v>24.062269037338847</v>
      </c>
      <c r="R17" s="82">
        <f>(THG!R42)/1000</f>
        <v>21.489217535313593</v>
      </c>
      <c r="S17" s="82">
        <f>(THG!S42)/1000</f>
        <v>19.830658338951437</v>
      </c>
      <c r="T17" s="82">
        <f>(THG!T42)/1000</f>
        <v>17.758310821011335</v>
      </c>
      <c r="U17" s="82">
        <f>(THG!U42)/1000</f>
        <v>16.236759090921446</v>
      </c>
      <c r="V17" s="82">
        <f>(THG!V42)/1000</f>
        <v>14.839270182314303</v>
      </c>
      <c r="W17" s="82">
        <f>(THG!W42)/1000</f>
        <v>13.445488095760965</v>
      </c>
      <c r="X17" s="82">
        <f>(THG!X42)/1000</f>
        <v>12.191951804297188</v>
      </c>
      <c r="Y17" s="82">
        <f>(THG!Y42)/1000</f>
        <v>11.309311816960442</v>
      </c>
      <c r="Z17" s="82">
        <f>(THG!Z42)/1000</f>
        <v>10.4834533416133</v>
      </c>
      <c r="AA17" s="82">
        <f>(THG!AA42)/1000</f>
        <v>9.6877307795737373</v>
      </c>
      <c r="AB17" s="82">
        <f>(THG!AB42)/1000</f>
        <v>9.0623234858579433</v>
      </c>
      <c r="AC17" s="82">
        <f>(THG!AC42)/1000</f>
        <v>8.443476428390623</v>
      </c>
      <c r="AD17" s="82">
        <f>(THG!AD42)/1000</f>
        <v>7.9043758078803714</v>
      </c>
      <c r="AE17" s="82">
        <f>(THG!AE42)/1000</f>
        <v>7.5258270473636477</v>
      </c>
      <c r="AF17" s="82">
        <f>(THG!AF42)/1000</f>
        <v>7.1312752606781604</v>
      </c>
      <c r="AG17" s="82">
        <f>(THG!AG42)/1000</f>
        <v>6.6063236655840223</v>
      </c>
      <c r="AH17" s="170">
        <f>(THG!AH42)/1000</f>
        <v>6.1214434396600081</v>
      </c>
      <c r="AI17" s="170">
        <f>(THG!AI42)/1000</f>
        <v>5.9154360453990105</v>
      </c>
      <c r="AJ17" s="170">
        <f>(THG!AJ42)/1000</f>
        <v>5.6496139083900427</v>
      </c>
      <c r="AK17" s="170">
        <f>(THG!AK42)/1000</f>
        <v>5.4900232878830186</v>
      </c>
      <c r="AL17" s="170">
        <f>(THG!AL42)/1000</f>
        <v>5.355503945398727</v>
      </c>
      <c r="AM17" s="26"/>
      <c r="AN17" s="26"/>
      <c r="AO17" s="26"/>
      <c r="AP17" s="26"/>
      <c r="AQ17" s="26"/>
      <c r="AR17" s="26"/>
    </row>
    <row r="18" spans="2:47" ht="18.75" customHeight="1">
      <c r="B18" s="5" t="s">
        <v>75</v>
      </c>
      <c r="C18" s="20" t="s">
        <v>63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</row>
    <row r="19" spans="2:47" s="150" customFormat="1" ht="22.5" customHeight="1">
      <c r="B19" s="3"/>
      <c r="C19" s="12"/>
      <c r="D19" s="24"/>
      <c r="E19" s="2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2:47" s="150" customFormat="1">
      <c r="B20" s="174" t="s">
        <v>279</v>
      </c>
      <c r="C20" s="163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92"/>
      <c r="AJ20" s="196"/>
      <c r="AK20" s="166"/>
      <c r="AL20" s="166"/>
      <c r="AM20" s="166"/>
      <c r="AN20" s="166"/>
      <c r="AO20" s="166"/>
      <c r="AP20" s="166"/>
      <c r="AQ20" s="166"/>
      <c r="AR20" s="166"/>
    </row>
    <row r="21" spans="2:47" s="150" customFormat="1">
      <c r="B21" s="151" t="s">
        <v>69</v>
      </c>
      <c r="C21" s="158"/>
      <c r="D21" s="155">
        <v>32874</v>
      </c>
      <c r="E21" s="155">
        <v>33239</v>
      </c>
      <c r="F21" s="155">
        <v>33604</v>
      </c>
      <c r="G21" s="155">
        <v>33970</v>
      </c>
      <c r="H21" s="155">
        <v>34335</v>
      </c>
      <c r="I21" s="155">
        <v>34700</v>
      </c>
      <c r="J21" s="155">
        <v>35065</v>
      </c>
      <c r="K21" s="155">
        <v>35431</v>
      </c>
      <c r="L21" s="155">
        <v>35796</v>
      </c>
      <c r="M21" s="155">
        <v>36161</v>
      </c>
      <c r="N21" s="155">
        <v>36526</v>
      </c>
      <c r="O21" s="155">
        <v>36892</v>
      </c>
      <c r="P21" s="155">
        <v>37257</v>
      </c>
      <c r="Q21" s="155">
        <v>37622</v>
      </c>
      <c r="R21" s="155">
        <v>37987</v>
      </c>
      <c r="S21" s="155">
        <v>38353</v>
      </c>
      <c r="T21" s="155">
        <v>38718</v>
      </c>
      <c r="U21" s="155">
        <v>39083</v>
      </c>
      <c r="V21" s="155">
        <v>39448</v>
      </c>
      <c r="W21" s="155">
        <v>39814</v>
      </c>
      <c r="X21" s="155">
        <v>40179</v>
      </c>
      <c r="Y21" s="155">
        <v>40544</v>
      </c>
      <c r="Z21" s="155">
        <v>40909</v>
      </c>
      <c r="AA21" s="155">
        <v>41275</v>
      </c>
      <c r="AB21" s="155">
        <v>41640</v>
      </c>
      <c r="AC21" s="155">
        <v>42005</v>
      </c>
      <c r="AD21" s="155">
        <v>42370</v>
      </c>
      <c r="AE21" s="155">
        <v>42736</v>
      </c>
      <c r="AF21" s="155">
        <v>43101</v>
      </c>
      <c r="AG21" s="155">
        <v>43466</v>
      </c>
      <c r="AH21" s="190">
        <v>43831</v>
      </c>
      <c r="AI21" s="155">
        <v>44197</v>
      </c>
      <c r="AJ21" s="190">
        <v>44562</v>
      </c>
      <c r="AK21" s="155">
        <v>44927</v>
      </c>
      <c r="AL21" s="155">
        <v>45292</v>
      </c>
      <c r="AM21" s="155">
        <v>45658</v>
      </c>
      <c r="AN21" s="155">
        <v>46023</v>
      </c>
      <c r="AO21" s="155">
        <v>46388</v>
      </c>
      <c r="AP21" s="155">
        <v>46753</v>
      </c>
      <c r="AQ21" s="155">
        <v>47119</v>
      </c>
      <c r="AR21" s="155">
        <v>47484</v>
      </c>
      <c r="AU21" s="150">
        <f ca="1">AL14*100/AL25</f>
        <v>104.95993952238832</v>
      </c>
    </row>
    <row r="22" spans="2:47" s="150" customFormat="1">
      <c r="B22" s="153" t="s">
        <v>278</v>
      </c>
      <c r="C22" s="160" t="s">
        <v>145</v>
      </c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70">
        <f>AH251</f>
        <v>813</v>
      </c>
      <c r="AI22" s="170">
        <f>AI251</f>
        <v>786</v>
      </c>
      <c r="AJ22" s="170">
        <f>AJ251</f>
        <v>756</v>
      </c>
      <c r="AK22" s="170">
        <f>AK251</f>
        <v>720</v>
      </c>
      <c r="AL22" s="218">
        <f>AL179</f>
        <v>693.37952355627158</v>
      </c>
      <c r="AM22" s="218">
        <f>AM155</f>
        <v>661.76633426690921</v>
      </c>
      <c r="AN22" s="218">
        <f>AN131</f>
        <v>622.76633426690921</v>
      </c>
      <c r="AO22" s="218">
        <f>AO107</f>
        <v>583.76633426690921</v>
      </c>
      <c r="AP22" s="218">
        <f>AP83</f>
        <v>541.76633426690921</v>
      </c>
      <c r="AQ22" s="218">
        <f>AQ59</f>
        <v>500.76633426690915</v>
      </c>
      <c r="AR22" s="218">
        <f>AR59+AR47/1000</f>
        <v>456.76633426690915</v>
      </c>
    </row>
    <row r="23" spans="2:47" ht="18.75" customHeight="1">
      <c r="B23" s="152" t="s">
        <v>8</v>
      </c>
      <c r="C23" s="163" t="s">
        <v>145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4">
        <f>AH252</f>
        <v>280</v>
      </c>
      <c r="AI23" s="164" t="e">
        <f>AI252</f>
        <v>#N/A</v>
      </c>
      <c r="AJ23" s="164">
        <f>AJ228</f>
        <v>257</v>
      </c>
      <c r="AK23" s="164" t="e">
        <f>AK204</f>
        <v>#N/A</v>
      </c>
      <c r="AL23" s="164" t="e">
        <v>#N/A</v>
      </c>
      <c r="AM23" s="164" t="e">
        <v>#N/A</v>
      </c>
      <c r="AN23" s="164" t="e">
        <v>#N/A</v>
      </c>
      <c r="AO23" s="164" t="e">
        <v>#N/A</v>
      </c>
      <c r="AP23" s="164" t="e">
        <v>#N/A</v>
      </c>
      <c r="AQ23" s="164" t="e">
        <v>#N/A</v>
      </c>
      <c r="AR23" s="164">
        <f>AR228+AR216/1000</f>
        <v>107.9776140872485</v>
      </c>
    </row>
    <row r="24" spans="2:47" ht="18.75" customHeight="1">
      <c r="B24" s="153" t="s">
        <v>9</v>
      </c>
      <c r="C24" s="160" t="s">
        <v>145</v>
      </c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70">
        <f>AH253</f>
        <v>186</v>
      </c>
      <c r="AI24" s="170">
        <f>AI253</f>
        <v>182</v>
      </c>
      <c r="AJ24" s="218">
        <f>AJ229</f>
        <v>176.86086659631175</v>
      </c>
      <c r="AK24" s="218">
        <f>AK205</f>
        <v>172.985406483856</v>
      </c>
      <c r="AL24" s="218">
        <f>AL181</f>
        <v>168.85135902837558</v>
      </c>
      <c r="AM24" s="218">
        <f>AM157</f>
        <v>163.49204001506132</v>
      </c>
      <c r="AN24" s="218">
        <f>AN133</f>
        <v>155.49204001506132</v>
      </c>
      <c r="AO24" s="218">
        <f>AO109</f>
        <v>146.49204001506132</v>
      </c>
      <c r="AP24" s="218">
        <f>AP85</f>
        <v>138.49204001506132</v>
      </c>
      <c r="AQ24" s="218">
        <f>AQ61</f>
        <v>131.49204001506129</v>
      </c>
      <c r="AR24" s="218">
        <f>AR61+AR49/1000</f>
        <v>124.49204001506129</v>
      </c>
    </row>
    <row r="25" spans="2:47" ht="18.75" customHeight="1">
      <c r="B25" s="169" t="s">
        <v>10</v>
      </c>
      <c r="C25" s="163" t="s">
        <v>145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4">
        <f t="shared" ref="AH25:AH28" si="1">AH254</f>
        <v>118</v>
      </c>
      <c r="AI25" s="164">
        <f>AI254</f>
        <v>113</v>
      </c>
      <c r="AJ25" s="219">
        <f t="shared" ref="AJ25:AJ28" si="2">AJ230</f>
        <v>107.44154968536468</v>
      </c>
      <c r="AK25" s="219">
        <f t="shared" ref="AK25:AK26" si="3">AK206</f>
        <v>101.05379676576811</v>
      </c>
      <c r="AL25" s="219">
        <f>AL182</f>
        <v>95.785339132491472</v>
      </c>
      <c r="AM25" s="219">
        <f t="shared" ref="AM25:AM28" si="4">AM158</f>
        <v>89.993523317110458</v>
      </c>
      <c r="AN25" s="219">
        <f t="shared" ref="AN25:AN28" si="5">AN134</f>
        <v>84.993523317110458</v>
      </c>
      <c r="AO25" s="219">
        <f t="shared" ref="AO25:AO28" si="6">AO110</f>
        <v>79.993523317110458</v>
      </c>
      <c r="AP25" s="219">
        <f t="shared" ref="AP25:AP28" si="7">AP86</f>
        <v>74.993523317110458</v>
      </c>
      <c r="AQ25" s="219">
        <f t="shared" ref="AQ25:AQ28" si="8">AQ62</f>
        <v>69.993523317110458</v>
      </c>
      <c r="AR25" s="219">
        <f>AR62+AR50/1000</f>
        <v>64.993523317110458</v>
      </c>
    </row>
    <row r="26" spans="2:47" s="30" customFormat="1" ht="18.75" customHeight="1">
      <c r="B26" s="153" t="s">
        <v>14</v>
      </c>
      <c r="C26" s="160" t="s">
        <v>145</v>
      </c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0">
        <f t="shared" si="1"/>
        <v>150</v>
      </c>
      <c r="AI26" s="170">
        <f>AI255</f>
        <v>145</v>
      </c>
      <c r="AJ26" s="218">
        <f t="shared" si="2"/>
        <v>138.80153267406732</v>
      </c>
      <c r="AK26" s="218">
        <f t="shared" si="3"/>
        <v>132.74131421065542</v>
      </c>
      <c r="AL26" s="218">
        <f>AL183</f>
        <v>124.97133643667371</v>
      </c>
      <c r="AM26" s="218">
        <f t="shared" si="4"/>
        <v>116.95743113476038</v>
      </c>
      <c r="AN26" s="218">
        <f t="shared" si="5"/>
        <v>110.95743113476038</v>
      </c>
      <c r="AO26" s="218">
        <f t="shared" si="6"/>
        <v>105.95743113476038</v>
      </c>
      <c r="AP26" s="218">
        <f t="shared" si="7"/>
        <v>98.957431134760384</v>
      </c>
      <c r="AQ26" s="218">
        <f t="shared" si="8"/>
        <v>89.957431134760384</v>
      </c>
      <c r="AR26" s="218">
        <f>AR63+AR51/1000</f>
        <v>78.957431134760384</v>
      </c>
    </row>
    <row r="27" spans="2:47" s="10" customFormat="1" ht="18.75" customHeight="1">
      <c r="B27" s="152" t="s">
        <v>15</v>
      </c>
      <c r="C27" s="163" t="s">
        <v>145</v>
      </c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4">
        <f t="shared" si="1"/>
        <v>70</v>
      </c>
      <c r="AI27" s="164">
        <f>AI256</f>
        <v>68</v>
      </c>
      <c r="AJ27" s="219">
        <f t="shared" si="2"/>
        <v>67.592627518947467</v>
      </c>
      <c r="AK27" s="219">
        <f>AK208</f>
        <v>67.362442884434003</v>
      </c>
      <c r="AL27" s="219">
        <f>AL184</f>
        <v>66.991365198110543</v>
      </c>
      <c r="AM27" s="219">
        <f t="shared" si="4"/>
        <v>65.804760460583651</v>
      </c>
      <c r="AN27" s="219">
        <f t="shared" si="5"/>
        <v>64.804760460583651</v>
      </c>
      <c r="AO27" s="219">
        <f t="shared" si="6"/>
        <v>63.804760460583658</v>
      </c>
      <c r="AP27" s="219">
        <f t="shared" si="7"/>
        <v>61.804760460583658</v>
      </c>
      <c r="AQ27" s="219">
        <f t="shared" si="8"/>
        <v>59.804760460583658</v>
      </c>
      <c r="AR27" s="219">
        <f>AR64+AR52/1000</f>
        <v>58.804760460583658</v>
      </c>
    </row>
    <row r="28" spans="2:47" s="10" customFormat="1" ht="18.75" customHeight="1">
      <c r="B28" s="153" t="s">
        <v>16</v>
      </c>
      <c r="C28" s="160" t="s">
        <v>145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70">
        <f t="shared" si="1"/>
        <v>9</v>
      </c>
      <c r="AI28" s="170">
        <f>AI257</f>
        <v>9</v>
      </c>
      <c r="AJ28" s="218">
        <f t="shared" si="2"/>
        <v>8.5006613839937355</v>
      </c>
      <c r="AK28" s="218">
        <f>AK209</f>
        <v>8.8556929007255043</v>
      </c>
      <c r="AL28" s="218">
        <f>AL185</f>
        <v>8.3365028454172894</v>
      </c>
      <c r="AM28" s="218">
        <f t="shared" si="4"/>
        <v>8.8333359954203825</v>
      </c>
      <c r="AN28" s="218">
        <f t="shared" si="5"/>
        <v>7.8333359954203834</v>
      </c>
      <c r="AO28" s="218">
        <f t="shared" si="6"/>
        <v>7.8333359954203834</v>
      </c>
      <c r="AP28" s="218">
        <f t="shared" si="7"/>
        <v>6.8333359954203834</v>
      </c>
      <c r="AQ28" s="218">
        <f t="shared" si="8"/>
        <v>6.8333359954203834</v>
      </c>
      <c r="AR28" s="218">
        <f>AR65+AR53/1000</f>
        <v>5.8333359954203834</v>
      </c>
    </row>
    <row r="29" spans="2:47" ht="18.75" customHeight="1">
      <c r="B29" s="152" t="s">
        <v>75</v>
      </c>
      <c r="C29" s="163" t="s">
        <v>64</v>
      </c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</row>
    <row r="30" spans="2:47" ht="18.75" customHeight="1">
      <c r="B30" s="156" t="s">
        <v>298</v>
      </c>
      <c r="C30" s="160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>
        <f>SUM(AH23:AH28)</f>
        <v>813</v>
      </c>
      <c r="AI30" s="167"/>
      <c r="AJ30" s="167">
        <f>SUM(AJ23:AJ28)</f>
        <v>756.19723785868484</v>
      </c>
      <c r="AK30" s="167"/>
      <c r="AL30" s="167"/>
      <c r="AM30" s="167"/>
      <c r="AN30" s="167"/>
      <c r="AO30" s="167"/>
      <c r="AP30" s="167"/>
      <c r="AQ30" s="167"/>
      <c r="AR30" s="167">
        <f>SUM(AR23:AR28)</f>
        <v>441.05870501018472</v>
      </c>
    </row>
    <row r="31" spans="2:47" ht="29.25" customHeight="1">
      <c r="B31" s="154"/>
      <c r="C31" s="161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228" t="s">
        <v>138</v>
      </c>
      <c r="AI31" s="229"/>
      <c r="AJ31" s="206" t="s">
        <v>139</v>
      </c>
      <c r="AK31" s="207" t="s">
        <v>140</v>
      </c>
      <c r="AL31" s="206" t="s">
        <v>103</v>
      </c>
      <c r="AM31" s="206" t="s">
        <v>103</v>
      </c>
      <c r="AN31" s="206" t="s">
        <v>103</v>
      </c>
      <c r="AO31" s="206" t="s">
        <v>103</v>
      </c>
      <c r="AP31" s="206" t="s">
        <v>103</v>
      </c>
      <c r="AQ31" s="206" t="s">
        <v>103</v>
      </c>
      <c r="AR31" s="206" t="s">
        <v>103</v>
      </c>
    </row>
    <row r="32" spans="2:47" s="150" customFormat="1" ht="15" customHeight="1">
      <c r="B32" s="154"/>
      <c r="C32" s="161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211"/>
      <c r="AI32" s="211"/>
      <c r="AJ32" s="206"/>
      <c r="AK32" s="207"/>
      <c r="AL32" s="207"/>
      <c r="AM32" s="206"/>
      <c r="AN32" s="206"/>
      <c r="AO32" s="206"/>
      <c r="AP32" s="206"/>
      <c r="AQ32" s="206"/>
      <c r="AR32" s="206"/>
    </row>
    <row r="33" spans="2:44" s="212" customFormat="1">
      <c r="B33" s="213" t="s">
        <v>257</v>
      </c>
      <c r="C33" s="214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>
        <f>DATE(YEAR(AI34)+2,MONTH(AI34),DAY(AI34))</f>
        <v>44927</v>
      </c>
      <c r="AJ33" s="215">
        <f>DATE(YEAR(AJ34)+2,MONTH(AJ34),DAY(AJ34))</f>
        <v>45292</v>
      </c>
      <c r="AK33" s="215">
        <f t="shared" ref="AK33:AR33" si="9">DATE(YEAR(AK34)+2,MONTH(AK34),DAY(AK34))</f>
        <v>45658</v>
      </c>
      <c r="AL33" s="215">
        <f t="shared" si="9"/>
        <v>46023</v>
      </c>
      <c r="AM33" s="215">
        <f t="shared" si="9"/>
        <v>46388</v>
      </c>
      <c r="AN33" s="215">
        <f t="shared" si="9"/>
        <v>46753</v>
      </c>
      <c r="AO33" s="215">
        <f t="shared" si="9"/>
        <v>47119</v>
      </c>
      <c r="AP33" s="215">
        <f t="shared" si="9"/>
        <v>47484</v>
      </c>
      <c r="AQ33" s="215">
        <f t="shared" si="9"/>
        <v>47849</v>
      </c>
      <c r="AR33" s="215">
        <f t="shared" si="9"/>
        <v>48214</v>
      </c>
    </row>
    <row r="34" spans="2:44" s="150" customFormat="1">
      <c r="B34" s="151" t="s">
        <v>69</v>
      </c>
      <c r="C34" s="158"/>
      <c r="D34" s="155">
        <v>32874</v>
      </c>
      <c r="E34" s="155">
        <v>33239</v>
      </c>
      <c r="F34" s="155">
        <v>33604</v>
      </c>
      <c r="G34" s="155">
        <v>33970</v>
      </c>
      <c r="H34" s="155">
        <v>34335</v>
      </c>
      <c r="I34" s="155">
        <v>34700</v>
      </c>
      <c r="J34" s="155">
        <v>35065</v>
      </c>
      <c r="K34" s="155">
        <v>35431</v>
      </c>
      <c r="L34" s="155">
        <v>35796</v>
      </c>
      <c r="M34" s="155">
        <v>36161</v>
      </c>
      <c r="N34" s="155">
        <v>36526</v>
      </c>
      <c r="O34" s="155">
        <v>36892</v>
      </c>
      <c r="P34" s="155">
        <v>37257</v>
      </c>
      <c r="Q34" s="155">
        <v>37622</v>
      </c>
      <c r="R34" s="155">
        <v>37987</v>
      </c>
      <c r="S34" s="155">
        <v>38353</v>
      </c>
      <c r="T34" s="155">
        <v>38718</v>
      </c>
      <c r="U34" s="155">
        <v>39083</v>
      </c>
      <c r="V34" s="155">
        <v>39448</v>
      </c>
      <c r="W34" s="155">
        <v>39814</v>
      </c>
      <c r="X34" s="155">
        <v>40179</v>
      </c>
      <c r="Y34" s="155">
        <v>40544</v>
      </c>
      <c r="Z34" s="155">
        <v>40909</v>
      </c>
      <c r="AA34" s="155">
        <v>41275</v>
      </c>
      <c r="AB34" s="155">
        <v>41640</v>
      </c>
      <c r="AC34" s="155">
        <v>42005</v>
      </c>
      <c r="AD34" s="155">
        <v>42370</v>
      </c>
      <c r="AE34" s="155">
        <v>42736</v>
      </c>
      <c r="AF34" s="155">
        <v>43101</v>
      </c>
      <c r="AG34" s="155">
        <v>43466</v>
      </c>
      <c r="AH34" s="155">
        <v>43831</v>
      </c>
      <c r="AI34" s="155">
        <v>44197</v>
      </c>
      <c r="AJ34" s="155">
        <v>44562</v>
      </c>
      <c r="AK34" s="155">
        <v>44927</v>
      </c>
      <c r="AL34" s="155">
        <v>45292</v>
      </c>
      <c r="AM34" s="155">
        <v>45658</v>
      </c>
      <c r="AN34" s="155">
        <v>46023</v>
      </c>
      <c r="AO34" s="155">
        <v>46388</v>
      </c>
      <c r="AP34" s="155">
        <v>46753</v>
      </c>
      <c r="AQ34" s="155">
        <v>47119</v>
      </c>
      <c r="AR34" s="155">
        <v>47484</v>
      </c>
    </row>
    <row r="35" spans="2:44" s="150" customFormat="1">
      <c r="B35" s="156" t="s">
        <v>278</v>
      </c>
      <c r="C35" s="185" t="s">
        <v>280</v>
      </c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86"/>
      <c r="AI35" s="186">
        <f>SUM(AI36:AI41)</f>
        <v>760.35800851184069</v>
      </c>
      <c r="AJ35" s="186">
        <f>SUM(AJ36:AJ41)</f>
        <v>749.96500206666428</v>
      </c>
      <c r="AK35" s="186">
        <f>AK11</f>
        <v>672.0203245275942</v>
      </c>
      <c r="AL35" s="186">
        <f t="shared" ref="AL35:AQ35" si="10">AL11</f>
        <v>649.05865929244578</v>
      </c>
      <c r="AM35" s="186">
        <f t="shared" si="10"/>
        <v>0</v>
      </c>
      <c r="AN35" s="186">
        <f t="shared" si="10"/>
        <v>0</v>
      </c>
      <c r="AO35" s="186">
        <f t="shared" si="10"/>
        <v>0</v>
      </c>
      <c r="AP35" s="186">
        <f t="shared" si="10"/>
        <v>0</v>
      </c>
      <c r="AQ35" s="186">
        <f t="shared" si="10"/>
        <v>0</v>
      </c>
      <c r="AR35" s="186">
        <f>AR11</f>
        <v>0</v>
      </c>
    </row>
    <row r="36" spans="2:44" s="150" customFormat="1">
      <c r="B36" s="157" t="s">
        <v>8</v>
      </c>
      <c r="C36" s="183" t="s">
        <v>142</v>
      </c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84"/>
      <c r="AI36" s="184">
        <v>245.133149240005</v>
      </c>
      <c r="AJ36" s="184">
        <v>257.17908730201202</v>
      </c>
      <c r="AK36" s="184">
        <f t="shared" ref="AK36:AK41" si="11">AK12</f>
        <v>202.58241705156237</v>
      </c>
      <c r="AL36" s="184">
        <f t="shared" ref="AL36:AL41" si="12">AL12</f>
        <v>184.99388634258281</v>
      </c>
      <c r="AM36" s="184">
        <f t="shared" ref="AM36:AR36" si="13">AM12</f>
        <v>0</v>
      </c>
      <c r="AN36" s="184">
        <f t="shared" si="13"/>
        <v>0</v>
      </c>
      <c r="AO36" s="184">
        <f t="shared" si="13"/>
        <v>0</v>
      </c>
      <c r="AP36" s="184">
        <f t="shared" si="13"/>
        <v>0</v>
      </c>
      <c r="AQ36" s="184">
        <f t="shared" si="13"/>
        <v>0</v>
      </c>
      <c r="AR36" s="184">
        <f t="shared" si="13"/>
        <v>0</v>
      </c>
    </row>
    <row r="37" spans="2:44" s="150" customFormat="1">
      <c r="B37" s="156" t="s">
        <v>9</v>
      </c>
      <c r="C37" s="185" t="s">
        <v>142</v>
      </c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86"/>
      <c r="AI37" s="186">
        <v>183.25220063319435</v>
      </c>
      <c r="AJ37" s="186">
        <v>167.86454749595785</v>
      </c>
      <c r="AK37" s="186">
        <f t="shared" si="11"/>
        <v>152.92373867221883</v>
      </c>
      <c r="AL37" s="186">
        <f t="shared" si="12"/>
        <v>153.00727310826122</v>
      </c>
      <c r="AM37" s="186">
        <f t="shared" ref="AM37:AR41" si="14">AM13</f>
        <v>0</v>
      </c>
      <c r="AN37" s="186">
        <f t="shared" si="14"/>
        <v>0</v>
      </c>
      <c r="AO37" s="186">
        <f t="shared" si="14"/>
        <v>0</v>
      </c>
      <c r="AP37" s="186">
        <f t="shared" si="14"/>
        <v>0</v>
      </c>
      <c r="AQ37" s="186">
        <f t="shared" si="14"/>
        <v>0</v>
      </c>
      <c r="AR37" s="186">
        <f t="shared" si="14"/>
        <v>0</v>
      </c>
    </row>
    <row r="38" spans="2:44" s="150" customFormat="1">
      <c r="B38" s="180" t="s">
        <v>10</v>
      </c>
      <c r="C38" s="183" t="s">
        <v>142</v>
      </c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84"/>
      <c r="AI38" s="184">
        <v>118.02605283171785</v>
      </c>
      <c r="AJ38" s="184">
        <v>110.5435730421372</v>
      </c>
      <c r="AK38" s="184">
        <f t="shared" si="11"/>
        <v>102.93300019870455</v>
      </c>
      <c r="AL38" s="184">
        <f t="shared" si="12"/>
        <v>100.5362340247776</v>
      </c>
      <c r="AM38" s="184">
        <f t="shared" si="14"/>
        <v>0</v>
      </c>
      <c r="AN38" s="184">
        <f t="shared" si="14"/>
        <v>0</v>
      </c>
      <c r="AO38" s="184">
        <f t="shared" si="14"/>
        <v>0</v>
      </c>
      <c r="AP38" s="184">
        <f t="shared" si="14"/>
        <v>0</v>
      </c>
      <c r="AQ38" s="184">
        <f t="shared" si="14"/>
        <v>0</v>
      </c>
      <c r="AR38" s="184">
        <f t="shared" si="14"/>
        <v>0</v>
      </c>
    </row>
    <row r="39" spans="2:44" s="150" customFormat="1">
      <c r="B39" s="156" t="s">
        <v>14</v>
      </c>
      <c r="C39" s="185" t="s">
        <v>142</v>
      </c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86"/>
      <c r="AI39" s="186">
        <v>146.78620593339423</v>
      </c>
      <c r="AJ39" s="186">
        <v>147.28328038136249</v>
      </c>
      <c r="AK39" s="186">
        <f t="shared" si="11"/>
        <v>145.13115862852723</v>
      </c>
      <c r="AL39" s="186">
        <f t="shared" si="12"/>
        <v>143.05476824815369</v>
      </c>
      <c r="AM39" s="186">
        <f t="shared" si="14"/>
        <v>0</v>
      </c>
      <c r="AN39" s="186">
        <f t="shared" si="14"/>
        <v>0</v>
      </c>
      <c r="AO39" s="186">
        <f t="shared" si="14"/>
        <v>0</v>
      </c>
      <c r="AP39" s="186">
        <f t="shared" si="14"/>
        <v>0</v>
      </c>
      <c r="AQ39" s="186">
        <f t="shared" si="14"/>
        <v>0</v>
      </c>
      <c r="AR39" s="186">
        <f t="shared" si="14"/>
        <v>0</v>
      </c>
    </row>
    <row r="40" spans="2:44" s="150" customFormat="1">
      <c r="B40" s="157" t="s">
        <v>15</v>
      </c>
      <c r="C40" s="183" t="s">
        <v>142</v>
      </c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84"/>
      <c r="AI40" s="184">
        <v>62.666352329472836</v>
      </c>
      <c r="AJ40" s="184">
        <v>61.43410459505521</v>
      </c>
      <c r="AK40" s="184">
        <f t="shared" si="11"/>
        <v>62.959986688698208</v>
      </c>
      <c r="AL40" s="184">
        <f t="shared" si="12"/>
        <v>62.110993623271767</v>
      </c>
      <c r="AM40" s="184">
        <f t="shared" si="14"/>
        <v>0</v>
      </c>
      <c r="AN40" s="184">
        <f t="shared" si="14"/>
        <v>0</v>
      </c>
      <c r="AO40" s="184">
        <f t="shared" si="14"/>
        <v>0</v>
      </c>
      <c r="AP40" s="184">
        <f t="shared" si="14"/>
        <v>0</v>
      </c>
      <c r="AQ40" s="184">
        <f t="shared" si="14"/>
        <v>0</v>
      </c>
      <c r="AR40" s="184">
        <f t="shared" si="14"/>
        <v>0</v>
      </c>
    </row>
    <row r="41" spans="2:44" s="150" customFormat="1">
      <c r="B41" s="156" t="s">
        <v>16</v>
      </c>
      <c r="C41" s="185" t="s">
        <v>142</v>
      </c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86"/>
      <c r="AI41" s="186">
        <v>4.4940475440563752</v>
      </c>
      <c r="AJ41" s="186">
        <v>5.6604092501395806</v>
      </c>
      <c r="AK41" s="186">
        <f t="shared" si="11"/>
        <v>5.4900232878830186</v>
      </c>
      <c r="AL41" s="186">
        <f t="shared" si="12"/>
        <v>5.355503945398727</v>
      </c>
      <c r="AM41" s="186">
        <f t="shared" si="14"/>
        <v>0</v>
      </c>
      <c r="AN41" s="186">
        <f t="shared" si="14"/>
        <v>0</v>
      </c>
      <c r="AO41" s="186">
        <f t="shared" si="14"/>
        <v>0</v>
      </c>
      <c r="AP41" s="186">
        <f t="shared" si="14"/>
        <v>0</v>
      </c>
      <c r="AQ41" s="186">
        <f t="shared" si="14"/>
        <v>0</v>
      </c>
      <c r="AR41" s="186">
        <f t="shared" si="14"/>
        <v>0</v>
      </c>
    </row>
    <row r="42" spans="2:44" s="150" customFormat="1">
      <c r="B42" s="157" t="s">
        <v>75</v>
      </c>
      <c r="C42" s="183" t="s">
        <v>142</v>
      </c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</row>
    <row r="43" spans="2:44" s="150" customFormat="1">
      <c r="B43" s="156"/>
      <c r="C43" s="160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</row>
    <row r="44" spans="2:44" s="150" customFormat="1" ht="29.25" customHeight="1" thickBot="1">
      <c r="B44" s="154"/>
      <c r="C44" s="161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228"/>
      <c r="AI44" s="229"/>
      <c r="AJ44" s="206"/>
      <c r="AK44" s="207"/>
      <c r="AL44" s="207"/>
      <c r="AM44" s="206"/>
      <c r="AN44" s="206"/>
      <c r="AO44" s="206"/>
      <c r="AP44" s="206"/>
      <c r="AQ44" s="206"/>
      <c r="AR44" s="206"/>
    </row>
    <row r="45" spans="2:44" s="150" customFormat="1" outlineLevel="1">
      <c r="B45" s="174" t="s">
        <v>258</v>
      </c>
      <c r="C45" s="163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 t="s">
        <v>41</v>
      </c>
      <c r="AL45" s="166"/>
      <c r="AM45" s="166"/>
      <c r="AN45" s="166"/>
      <c r="AO45" s="166"/>
      <c r="AP45" s="166"/>
      <c r="AQ45" s="216" t="s">
        <v>259</v>
      </c>
      <c r="AR45" s="166"/>
    </row>
    <row r="46" spans="2:44" s="150" customFormat="1" outlineLevel="1">
      <c r="B46" s="151" t="s">
        <v>69</v>
      </c>
      <c r="C46" s="158"/>
      <c r="D46" s="155">
        <v>32874</v>
      </c>
      <c r="E46" s="155">
        <v>33239</v>
      </c>
      <c r="F46" s="155">
        <v>33604</v>
      </c>
      <c r="G46" s="155">
        <v>33970</v>
      </c>
      <c r="H46" s="155">
        <v>34335</v>
      </c>
      <c r="I46" s="155">
        <v>34700</v>
      </c>
      <c r="J46" s="155">
        <v>35065</v>
      </c>
      <c r="K46" s="155">
        <v>35431</v>
      </c>
      <c r="L46" s="155">
        <v>35796</v>
      </c>
      <c r="M46" s="155">
        <v>36161</v>
      </c>
      <c r="N46" s="155">
        <v>36526</v>
      </c>
      <c r="O46" s="155">
        <v>36892</v>
      </c>
      <c r="P46" s="155">
        <v>37257</v>
      </c>
      <c r="Q46" s="155">
        <v>37622</v>
      </c>
      <c r="R46" s="155">
        <v>37987</v>
      </c>
      <c r="S46" s="155">
        <v>38353</v>
      </c>
      <c r="T46" s="155">
        <v>38718</v>
      </c>
      <c r="U46" s="155">
        <v>39083</v>
      </c>
      <c r="V46" s="155">
        <v>39448</v>
      </c>
      <c r="W46" s="155">
        <v>39814</v>
      </c>
      <c r="X46" s="155">
        <v>40179</v>
      </c>
      <c r="Y46" s="155">
        <v>40544</v>
      </c>
      <c r="Z46" s="155">
        <v>40909</v>
      </c>
      <c r="AA46" s="155">
        <v>41275</v>
      </c>
      <c r="AB46" s="155">
        <v>41640</v>
      </c>
      <c r="AC46" s="155">
        <v>42005</v>
      </c>
      <c r="AD46" s="155">
        <v>42370</v>
      </c>
      <c r="AE46" s="155">
        <v>42736</v>
      </c>
      <c r="AF46" s="155">
        <v>43101</v>
      </c>
      <c r="AG46" s="155">
        <v>43466</v>
      </c>
      <c r="AH46" s="155">
        <v>43831</v>
      </c>
      <c r="AI46" s="155">
        <v>44197</v>
      </c>
      <c r="AJ46" s="155">
        <v>44562</v>
      </c>
      <c r="AK46" s="155">
        <v>44927</v>
      </c>
      <c r="AL46" s="155">
        <v>45292</v>
      </c>
      <c r="AM46" s="155">
        <v>45658</v>
      </c>
      <c r="AN46" s="155">
        <v>46023</v>
      </c>
      <c r="AO46" s="155">
        <v>46388</v>
      </c>
      <c r="AP46" s="155">
        <v>46753</v>
      </c>
      <c r="AQ46" s="175">
        <v>47119</v>
      </c>
      <c r="AR46" s="155">
        <v>47484</v>
      </c>
    </row>
    <row r="47" spans="2:44" s="150" customFormat="1" outlineLevel="1">
      <c r="B47" s="156" t="s">
        <v>278</v>
      </c>
      <c r="C47" s="185" t="s">
        <v>143</v>
      </c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86"/>
      <c r="AI47" s="167"/>
      <c r="AJ47" s="167"/>
      <c r="AK47" s="167"/>
      <c r="AL47" s="167"/>
      <c r="AM47" s="186"/>
      <c r="AN47" s="167"/>
      <c r="AO47" s="167"/>
      <c r="AP47" s="167"/>
      <c r="AQ47" s="199">
        <f>IF(AQ$37&gt;0,(AQ$37-AQ59)*1000,0)</f>
        <v>0</v>
      </c>
      <c r="AR47" s="172">
        <f>-$AQ47</f>
        <v>0</v>
      </c>
    </row>
    <row r="48" spans="2:44" s="150" customFormat="1" outlineLevel="1">
      <c r="B48" s="157" t="s">
        <v>8</v>
      </c>
      <c r="C48" s="183" t="s">
        <v>143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84"/>
      <c r="AI48" s="168"/>
      <c r="AJ48" s="168"/>
      <c r="AK48" s="168"/>
      <c r="AL48" s="168"/>
      <c r="AM48" s="184"/>
      <c r="AN48" s="168"/>
      <c r="AO48" s="168"/>
      <c r="AP48" s="168"/>
      <c r="AQ48" s="199" t="e">
        <f t="shared" ref="AQ48" si="15">(AQ36-AQ60)*1000</f>
        <v>#N/A</v>
      </c>
      <c r="AR48" s="204" t="e">
        <f>-$AQ48</f>
        <v>#N/A</v>
      </c>
    </row>
    <row r="49" spans="2:44" s="150" customFormat="1" outlineLevel="1">
      <c r="B49" s="156" t="s">
        <v>9</v>
      </c>
      <c r="C49" s="185" t="s">
        <v>143</v>
      </c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86"/>
      <c r="AI49" s="167"/>
      <c r="AJ49" s="167"/>
      <c r="AK49" s="167"/>
      <c r="AL49" s="167"/>
      <c r="AM49" s="186"/>
      <c r="AN49" s="167"/>
      <c r="AO49" s="167"/>
      <c r="AP49" s="167"/>
      <c r="AQ49" s="199">
        <f>IF(AQ$37&gt;0,(AQ$37-AQ61)*1000,0)</f>
        <v>0</v>
      </c>
      <c r="AR49" s="172">
        <f>-$AQ49</f>
        <v>0</v>
      </c>
    </row>
    <row r="50" spans="2:44" s="150" customFormat="1" outlineLevel="1">
      <c r="B50" s="180" t="s">
        <v>10</v>
      </c>
      <c r="C50" s="183" t="s">
        <v>143</v>
      </c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84"/>
      <c r="AI50" s="168"/>
      <c r="AJ50" s="168"/>
      <c r="AK50" s="168"/>
      <c r="AL50" s="168"/>
      <c r="AM50" s="184"/>
      <c r="AN50" s="168"/>
      <c r="AO50" s="168"/>
      <c r="AP50" s="168"/>
      <c r="AQ50" s="199">
        <f>IF(AQ$38&gt;0,(AQ$38-AQ62)*1000,0)</f>
        <v>0</v>
      </c>
      <c r="AR50" s="171">
        <f t="shared" ref="AR50:AR53" si="16">-$AQ50</f>
        <v>0</v>
      </c>
    </row>
    <row r="51" spans="2:44" s="150" customFormat="1" outlineLevel="1">
      <c r="B51" s="156" t="s">
        <v>14</v>
      </c>
      <c r="C51" s="185" t="s">
        <v>143</v>
      </c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86"/>
      <c r="AI51" s="173"/>
      <c r="AJ51" s="173"/>
      <c r="AK51" s="173"/>
      <c r="AL51" s="173"/>
      <c r="AM51" s="186"/>
      <c r="AN51" s="173"/>
      <c r="AO51" s="173"/>
      <c r="AP51" s="173"/>
      <c r="AQ51" s="199">
        <f>IF(AQ$39&gt;0,(AQ$39-AQ63)*1000,0)</f>
        <v>0</v>
      </c>
      <c r="AR51" s="172">
        <f t="shared" si="16"/>
        <v>0</v>
      </c>
    </row>
    <row r="52" spans="2:44" s="150" customFormat="1" outlineLevel="1">
      <c r="B52" s="157" t="s">
        <v>15</v>
      </c>
      <c r="C52" s="183" t="s">
        <v>143</v>
      </c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84"/>
      <c r="AI52" s="168"/>
      <c r="AJ52" s="168"/>
      <c r="AK52" s="168"/>
      <c r="AL52" s="168"/>
      <c r="AM52" s="184"/>
      <c r="AN52" s="168"/>
      <c r="AO52" s="168"/>
      <c r="AP52" s="168"/>
      <c r="AQ52" s="199">
        <f>IF(AQ$40&gt;0,(AQ$40-AQ64)*1000,0)</f>
        <v>0</v>
      </c>
      <c r="AR52" s="171">
        <f t="shared" si="16"/>
        <v>0</v>
      </c>
    </row>
    <row r="53" spans="2:44" s="150" customFormat="1" outlineLevel="1">
      <c r="B53" s="156" t="s">
        <v>16</v>
      </c>
      <c r="C53" s="185" t="s">
        <v>143</v>
      </c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86"/>
      <c r="AI53" s="167"/>
      <c r="AJ53" s="167"/>
      <c r="AK53" s="167"/>
      <c r="AL53" s="167"/>
      <c r="AM53" s="186"/>
      <c r="AN53" s="167"/>
      <c r="AO53" s="167"/>
      <c r="AP53" s="167"/>
      <c r="AQ53" s="199">
        <f>IF(AQ$41&gt;0,(AQ$41-AQ65)*1000,0)</f>
        <v>0</v>
      </c>
      <c r="AR53" s="172">
        <f t="shared" si="16"/>
        <v>0</v>
      </c>
    </row>
    <row r="54" spans="2:44" s="150" customFormat="1" outlineLevel="1">
      <c r="B54" s="157" t="s">
        <v>75</v>
      </c>
      <c r="C54" s="183" t="s">
        <v>143</v>
      </c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81"/>
      <c r="AR54" s="168"/>
    </row>
    <row r="55" spans="2:44" s="150" customFormat="1" ht="15.75" outlineLevel="1" thickBot="1">
      <c r="B55" s="156" t="s">
        <v>8</v>
      </c>
      <c r="C55" s="160" t="s">
        <v>297</v>
      </c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200">
        <f>IF(AQ$36&gt;0,(AQ$36-AQ67)*1000,0)</f>
        <v>0</v>
      </c>
      <c r="AR55" s="172">
        <f>-$AQ55</f>
        <v>0</v>
      </c>
    </row>
    <row r="56" spans="2:44" s="150" customFormat="1" outlineLevel="1">
      <c r="B56" s="152"/>
      <c r="C56" s="163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205"/>
      <c r="AK56" s="166"/>
      <c r="AL56" s="205"/>
      <c r="AM56" s="205" t="s">
        <v>103</v>
      </c>
      <c r="AN56" s="205" t="s">
        <v>103</v>
      </c>
      <c r="AO56" s="205" t="s">
        <v>103</v>
      </c>
      <c r="AP56" s="205" t="s">
        <v>103</v>
      </c>
      <c r="AQ56" s="205" t="s">
        <v>103</v>
      </c>
      <c r="AR56" s="205" t="s">
        <v>103</v>
      </c>
    </row>
    <row r="57" spans="2:44" s="150" customFormat="1" outlineLevel="1">
      <c r="B57" s="174" t="s">
        <v>260</v>
      </c>
      <c r="C57" s="163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92"/>
      <c r="AJ57" s="196"/>
      <c r="AK57" s="166"/>
      <c r="AL57" s="166"/>
      <c r="AM57" s="166"/>
      <c r="AN57" s="166"/>
      <c r="AO57" s="166"/>
      <c r="AP57" s="166"/>
      <c r="AQ57" s="166"/>
      <c r="AR57" s="166"/>
    </row>
    <row r="58" spans="2:44" s="150" customFormat="1" outlineLevel="1">
      <c r="B58" s="151" t="s">
        <v>69</v>
      </c>
      <c r="C58" s="158"/>
      <c r="D58" s="155">
        <v>32874</v>
      </c>
      <c r="E58" s="155">
        <v>33239</v>
      </c>
      <c r="F58" s="155">
        <v>33604</v>
      </c>
      <c r="G58" s="155">
        <v>33970</v>
      </c>
      <c r="H58" s="155">
        <v>34335</v>
      </c>
      <c r="I58" s="155">
        <v>34700</v>
      </c>
      <c r="J58" s="155">
        <v>35065</v>
      </c>
      <c r="K58" s="155">
        <v>35431</v>
      </c>
      <c r="L58" s="155">
        <v>35796</v>
      </c>
      <c r="M58" s="155">
        <v>36161</v>
      </c>
      <c r="N58" s="155">
        <v>36526</v>
      </c>
      <c r="O58" s="155">
        <v>36892</v>
      </c>
      <c r="P58" s="155">
        <v>37257</v>
      </c>
      <c r="Q58" s="155">
        <v>37622</v>
      </c>
      <c r="R58" s="155">
        <v>37987</v>
      </c>
      <c r="S58" s="155">
        <v>38353</v>
      </c>
      <c r="T58" s="155">
        <v>38718</v>
      </c>
      <c r="U58" s="155">
        <v>39083</v>
      </c>
      <c r="V58" s="155">
        <v>39448</v>
      </c>
      <c r="W58" s="155">
        <v>39814</v>
      </c>
      <c r="X58" s="155">
        <v>40179</v>
      </c>
      <c r="Y58" s="155">
        <v>40544</v>
      </c>
      <c r="Z58" s="155">
        <v>40909</v>
      </c>
      <c r="AA58" s="155">
        <v>41275</v>
      </c>
      <c r="AB58" s="155">
        <v>41640</v>
      </c>
      <c r="AC58" s="155">
        <v>42005</v>
      </c>
      <c r="AD58" s="155">
        <v>42370</v>
      </c>
      <c r="AE58" s="155">
        <v>42736</v>
      </c>
      <c r="AF58" s="155">
        <v>43101</v>
      </c>
      <c r="AG58" s="155">
        <v>43466</v>
      </c>
      <c r="AH58" s="208">
        <v>43831</v>
      </c>
      <c r="AI58" s="155">
        <v>44197</v>
      </c>
      <c r="AJ58" s="208">
        <v>44562</v>
      </c>
      <c r="AK58" s="155">
        <v>44927</v>
      </c>
      <c r="AL58" s="155">
        <v>45292</v>
      </c>
      <c r="AM58" s="155">
        <v>45658</v>
      </c>
      <c r="AN58" s="155">
        <v>46023</v>
      </c>
      <c r="AO58" s="155">
        <v>46388</v>
      </c>
      <c r="AP58" s="155">
        <v>46753</v>
      </c>
      <c r="AQ58" s="155">
        <v>47119</v>
      </c>
      <c r="AR58" s="155">
        <v>47484</v>
      </c>
    </row>
    <row r="59" spans="2:44" s="150" customFormat="1" outlineLevel="1">
      <c r="B59" s="156" t="s">
        <v>278</v>
      </c>
      <c r="C59" s="185" t="s">
        <v>292</v>
      </c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94"/>
      <c r="AI59" s="167"/>
      <c r="AJ59" s="178"/>
      <c r="AK59" s="167"/>
      <c r="AL59" s="167"/>
      <c r="AM59" s="167"/>
      <c r="AN59" s="167"/>
      <c r="AO59" s="194"/>
      <c r="AP59" s="167"/>
      <c r="AQ59" s="167">
        <f t="shared" ref="AQ59:AR65" si="17">AQ83+AQ71/1000</f>
        <v>500.76633426690915</v>
      </c>
      <c r="AR59" s="167">
        <f t="shared" si="17"/>
        <v>456.76633426690915</v>
      </c>
    </row>
    <row r="60" spans="2:44" s="150" customFormat="1" outlineLevel="1">
      <c r="B60" s="157" t="s">
        <v>8</v>
      </c>
      <c r="C60" s="183" t="s">
        <v>287</v>
      </c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93"/>
      <c r="AI60" s="168"/>
      <c r="AJ60" s="176"/>
      <c r="AK60" s="168"/>
      <c r="AL60" s="168"/>
      <c r="AM60" s="168"/>
      <c r="AN60" s="168"/>
      <c r="AO60" s="193"/>
      <c r="AP60" s="168"/>
      <c r="AQ60" s="171" t="e">
        <f t="shared" si="17"/>
        <v>#N/A</v>
      </c>
      <c r="AR60" s="171" t="e">
        <f t="shared" si="17"/>
        <v>#N/A</v>
      </c>
    </row>
    <row r="61" spans="2:44" s="150" customFormat="1" outlineLevel="1">
      <c r="B61" s="156" t="s">
        <v>9</v>
      </c>
      <c r="C61" s="185" t="s">
        <v>287</v>
      </c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94"/>
      <c r="AI61" s="167"/>
      <c r="AJ61" s="178"/>
      <c r="AK61" s="167"/>
      <c r="AL61" s="167"/>
      <c r="AM61" s="167"/>
      <c r="AN61" s="167"/>
      <c r="AO61" s="194"/>
      <c r="AP61" s="167"/>
      <c r="AQ61" s="167">
        <f t="shared" si="17"/>
        <v>131.49204001506129</v>
      </c>
      <c r="AR61" s="167">
        <f t="shared" si="17"/>
        <v>124.49204001506129</v>
      </c>
    </row>
    <row r="62" spans="2:44" s="150" customFormat="1" outlineLevel="1">
      <c r="B62" s="180" t="s">
        <v>10</v>
      </c>
      <c r="C62" s="183" t="s">
        <v>287</v>
      </c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93"/>
      <c r="AI62" s="168"/>
      <c r="AJ62" s="176"/>
      <c r="AK62" s="168"/>
      <c r="AL62" s="168"/>
      <c r="AM62" s="168"/>
      <c r="AN62" s="168"/>
      <c r="AO62" s="193"/>
      <c r="AP62" s="168"/>
      <c r="AQ62" s="168">
        <f t="shared" si="17"/>
        <v>69.993523317110458</v>
      </c>
      <c r="AR62" s="168">
        <f t="shared" si="17"/>
        <v>64.993523317110458</v>
      </c>
    </row>
    <row r="63" spans="2:44" s="150" customFormat="1" outlineLevel="1">
      <c r="B63" s="156" t="s">
        <v>14</v>
      </c>
      <c r="C63" s="185" t="s">
        <v>287</v>
      </c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94"/>
      <c r="AI63" s="173"/>
      <c r="AJ63" s="178"/>
      <c r="AK63" s="173"/>
      <c r="AL63" s="173"/>
      <c r="AM63" s="173"/>
      <c r="AN63" s="173"/>
      <c r="AO63" s="194"/>
      <c r="AP63" s="173"/>
      <c r="AQ63" s="167">
        <f t="shared" si="17"/>
        <v>89.957431134760384</v>
      </c>
      <c r="AR63" s="167">
        <f t="shared" si="17"/>
        <v>78.957431134760384</v>
      </c>
    </row>
    <row r="64" spans="2:44" s="150" customFormat="1" outlineLevel="1">
      <c r="B64" s="157" t="s">
        <v>15</v>
      </c>
      <c r="C64" s="183" t="s">
        <v>287</v>
      </c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93"/>
      <c r="AI64" s="168"/>
      <c r="AJ64" s="176"/>
      <c r="AK64" s="168"/>
      <c r="AL64" s="168"/>
      <c r="AM64" s="168"/>
      <c r="AN64" s="168"/>
      <c r="AO64" s="193"/>
      <c r="AP64" s="168"/>
      <c r="AQ64" s="168">
        <f t="shared" si="17"/>
        <v>59.804760460583658</v>
      </c>
      <c r="AR64" s="168">
        <f t="shared" si="17"/>
        <v>58.804760460583658</v>
      </c>
    </row>
    <row r="65" spans="2:44" s="150" customFormat="1" outlineLevel="1">
      <c r="B65" s="156" t="s">
        <v>16</v>
      </c>
      <c r="C65" s="185" t="s">
        <v>287</v>
      </c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94"/>
      <c r="AI65" s="167"/>
      <c r="AJ65" s="178"/>
      <c r="AK65" s="167"/>
      <c r="AL65" s="167"/>
      <c r="AM65" s="167"/>
      <c r="AN65" s="167"/>
      <c r="AO65" s="194"/>
      <c r="AP65" s="167"/>
      <c r="AQ65" s="167">
        <f t="shared" si="17"/>
        <v>6.8333359954203834</v>
      </c>
      <c r="AR65" s="167">
        <f t="shared" si="17"/>
        <v>5.8333359954203834</v>
      </c>
    </row>
    <row r="66" spans="2:44" s="150" customFormat="1" outlineLevel="1">
      <c r="B66" s="157" t="s">
        <v>75</v>
      </c>
      <c r="C66" s="183" t="s">
        <v>287</v>
      </c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82"/>
      <c r="AI66" s="168"/>
      <c r="AJ66" s="182"/>
      <c r="AK66" s="168"/>
      <c r="AL66" s="168"/>
      <c r="AM66" s="168"/>
      <c r="AN66" s="168"/>
      <c r="AO66" s="182"/>
      <c r="AP66" s="168"/>
      <c r="AQ66" s="168"/>
      <c r="AR66" s="168"/>
    </row>
    <row r="67" spans="2:44" s="150" customFormat="1" outlineLevel="1">
      <c r="B67" s="156" t="s">
        <v>8</v>
      </c>
      <c r="C67" s="160" t="s">
        <v>297</v>
      </c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95"/>
      <c r="AI67" s="167"/>
      <c r="AJ67" s="195"/>
      <c r="AK67" s="167"/>
      <c r="AL67" s="167"/>
      <c r="AM67" s="167"/>
      <c r="AN67" s="167"/>
      <c r="AO67" s="167"/>
      <c r="AP67" s="167"/>
      <c r="AQ67" s="167">
        <f>AQ91+AQ79/1000</f>
        <v>142.24774334397299</v>
      </c>
      <c r="AR67" s="167">
        <f>AR91+AR79/1000</f>
        <v>123.62274334397297</v>
      </c>
    </row>
    <row r="68" spans="2:44" s="150" customFormat="1" ht="29.25" customHeight="1" outlineLevel="1" thickBot="1">
      <c r="B68" s="154"/>
      <c r="C68" s="161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209"/>
      <c r="AI68" s="210"/>
      <c r="AJ68" s="206"/>
      <c r="AK68" s="207"/>
      <c r="AL68" s="207"/>
      <c r="AM68" s="206" t="s">
        <v>103</v>
      </c>
      <c r="AN68" s="206" t="s">
        <v>103</v>
      </c>
      <c r="AO68" s="206" t="s">
        <v>103</v>
      </c>
      <c r="AP68" s="206" t="s">
        <v>103</v>
      </c>
      <c r="AQ68" s="206" t="s">
        <v>103</v>
      </c>
      <c r="AR68" s="206" t="s">
        <v>103</v>
      </c>
    </row>
    <row r="69" spans="2:44" s="150" customFormat="1" outlineLevel="1">
      <c r="B69" s="174" t="s">
        <v>261</v>
      </c>
      <c r="C69" s="163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 t="s">
        <v>41</v>
      </c>
      <c r="AL69" s="166"/>
      <c r="AM69" s="166"/>
      <c r="AN69" s="166"/>
      <c r="AO69" s="166"/>
      <c r="AP69" s="216" t="s">
        <v>259</v>
      </c>
      <c r="AQ69" s="166"/>
      <c r="AR69" s="166"/>
    </row>
    <row r="70" spans="2:44" s="150" customFormat="1" outlineLevel="1">
      <c r="B70" s="151" t="s">
        <v>69</v>
      </c>
      <c r="C70" s="158"/>
      <c r="D70" s="155">
        <v>32874</v>
      </c>
      <c r="E70" s="155">
        <v>33239</v>
      </c>
      <c r="F70" s="155">
        <v>33604</v>
      </c>
      <c r="G70" s="155">
        <v>33970</v>
      </c>
      <c r="H70" s="155">
        <v>34335</v>
      </c>
      <c r="I70" s="155">
        <v>34700</v>
      </c>
      <c r="J70" s="155">
        <v>35065</v>
      </c>
      <c r="K70" s="155">
        <v>35431</v>
      </c>
      <c r="L70" s="155">
        <v>35796</v>
      </c>
      <c r="M70" s="155">
        <v>36161</v>
      </c>
      <c r="N70" s="155">
        <v>36526</v>
      </c>
      <c r="O70" s="155">
        <v>36892</v>
      </c>
      <c r="P70" s="155">
        <v>37257</v>
      </c>
      <c r="Q70" s="155">
        <v>37622</v>
      </c>
      <c r="R70" s="155">
        <v>37987</v>
      </c>
      <c r="S70" s="155">
        <v>38353</v>
      </c>
      <c r="T70" s="155">
        <v>38718</v>
      </c>
      <c r="U70" s="155">
        <v>39083</v>
      </c>
      <c r="V70" s="155">
        <v>39448</v>
      </c>
      <c r="W70" s="155">
        <v>39814</v>
      </c>
      <c r="X70" s="155">
        <v>40179</v>
      </c>
      <c r="Y70" s="155">
        <v>40544</v>
      </c>
      <c r="Z70" s="155">
        <v>40909</v>
      </c>
      <c r="AA70" s="155">
        <v>41275</v>
      </c>
      <c r="AB70" s="155">
        <v>41640</v>
      </c>
      <c r="AC70" s="155">
        <v>42005</v>
      </c>
      <c r="AD70" s="155">
        <v>42370</v>
      </c>
      <c r="AE70" s="155">
        <v>42736</v>
      </c>
      <c r="AF70" s="155">
        <v>43101</v>
      </c>
      <c r="AG70" s="155">
        <v>43466</v>
      </c>
      <c r="AH70" s="155">
        <v>43831</v>
      </c>
      <c r="AI70" s="155">
        <v>44197</v>
      </c>
      <c r="AJ70" s="155">
        <v>44562</v>
      </c>
      <c r="AK70" s="155">
        <v>44927</v>
      </c>
      <c r="AL70" s="155">
        <v>45292</v>
      </c>
      <c r="AM70" s="155">
        <v>45658</v>
      </c>
      <c r="AN70" s="155">
        <v>46023</v>
      </c>
      <c r="AO70" s="155">
        <v>46388</v>
      </c>
      <c r="AP70" s="175">
        <v>46753</v>
      </c>
      <c r="AQ70" s="155">
        <v>47119</v>
      </c>
      <c r="AR70" s="155">
        <v>47484</v>
      </c>
    </row>
    <row r="71" spans="2:44" s="150" customFormat="1" outlineLevel="1">
      <c r="B71" s="156" t="s">
        <v>278</v>
      </c>
      <c r="C71" s="185" t="s">
        <v>143</v>
      </c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86"/>
      <c r="AI71" s="167"/>
      <c r="AJ71" s="167"/>
      <c r="AK71" s="167"/>
      <c r="AL71" s="186"/>
      <c r="AM71" s="167"/>
      <c r="AN71" s="167"/>
      <c r="AO71" s="167"/>
      <c r="AP71" s="199">
        <f>IF(AP$35&gt;0,(AP$35-AP83)*1000,0)</f>
        <v>0</v>
      </c>
      <c r="AQ71" s="172">
        <f>-$AP71/2</f>
        <v>0</v>
      </c>
      <c r="AR71" s="172">
        <f>-$AP71/2</f>
        <v>0</v>
      </c>
    </row>
    <row r="72" spans="2:44" s="150" customFormat="1" outlineLevel="1">
      <c r="B72" s="157" t="s">
        <v>8</v>
      </c>
      <c r="C72" s="183" t="s">
        <v>143</v>
      </c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84"/>
      <c r="AI72" s="168"/>
      <c r="AJ72" s="168"/>
      <c r="AK72" s="168"/>
      <c r="AL72" s="184"/>
      <c r="AM72" s="168"/>
      <c r="AN72" s="168"/>
      <c r="AO72" s="168"/>
      <c r="AP72" s="199" t="e">
        <f t="shared" ref="AP72" si="18">(AP36-AP84)*1000</f>
        <v>#N/A</v>
      </c>
      <c r="AQ72" s="204" t="e">
        <v>#N/A</v>
      </c>
      <c r="AR72" s="204" t="e">
        <v>#N/A</v>
      </c>
    </row>
    <row r="73" spans="2:44" s="150" customFormat="1" outlineLevel="1">
      <c r="B73" s="156" t="s">
        <v>9</v>
      </c>
      <c r="C73" s="185" t="s">
        <v>143</v>
      </c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86"/>
      <c r="AI73" s="167"/>
      <c r="AJ73" s="167"/>
      <c r="AK73" s="167"/>
      <c r="AL73" s="186"/>
      <c r="AM73" s="167"/>
      <c r="AN73" s="167"/>
      <c r="AO73" s="167"/>
      <c r="AP73" s="199">
        <f>IF(AP$37&gt;0,(AP$37-AP85)*1000,0)</f>
        <v>0</v>
      </c>
      <c r="AQ73" s="172">
        <f>-$AP73/2</f>
        <v>0</v>
      </c>
      <c r="AR73" s="172">
        <f>-$AP73/2</f>
        <v>0</v>
      </c>
    </row>
    <row r="74" spans="2:44" s="150" customFormat="1" outlineLevel="1">
      <c r="B74" s="180" t="s">
        <v>10</v>
      </c>
      <c r="C74" s="183" t="s">
        <v>143</v>
      </c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  <c r="AG74" s="168"/>
      <c r="AH74" s="184"/>
      <c r="AI74" s="168"/>
      <c r="AJ74" s="168"/>
      <c r="AK74" s="168"/>
      <c r="AL74" s="184"/>
      <c r="AM74" s="168"/>
      <c r="AN74" s="168"/>
      <c r="AO74" s="168"/>
      <c r="AP74" s="199">
        <f>IF(AP$38&gt;0,(AP$38-AP86)*1000,0)</f>
        <v>0</v>
      </c>
      <c r="AQ74" s="171">
        <f t="shared" ref="AQ74:AR77" si="19">-$AP74/2</f>
        <v>0</v>
      </c>
      <c r="AR74" s="171">
        <f t="shared" si="19"/>
        <v>0</v>
      </c>
    </row>
    <row r="75" spans="2:44" s="150" customFormat="1" outlineLevel="1">
      <c r="B75" s="156" t="s">
        <v>14</v>
      </c>
      <c r="C75" s="185" t="s">
        <v>143</v>
      </c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H75" s="186"/>
      <c r="AI75" s="173"/>
      <c r="AJ75" s="173"/>
      <c r="AK75" s="173"/>
      <c r="AL75" s="186"/>
      <c r="AM75" s="173"/>
      <c r="AN75" s="173"/>
      <c r="AO75" s="173"/>
      <c r="AP75" s="199">
        <f>IF(AP$39&gt;0,(AP$39-AP87)*1000,0)</f>
        <v>0</v>
      </c>
      <c r="AQ75" s="172">
        <f t="shared" si="19"/>
        <v>0</v>
      </c>
      <c r="AR75" s="172">
        <f t="shared" si="19"/>
        <v>0</v>
      </c>
    </row>
    <row r="76" spans="2:44" s="150" customFormat="1" outlineLevel="1">
      <c r="B76" s="157" t="s">
        <v>15</v>
      </c>
      <c r="C76" s="183" t="s">
        <v>143</v>
      </c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84"/>
      <c r="AI76" s="168"/>
      <c r="AJ76" s="168"/>
      <c r="AK76" s="168"/>
      <c r="AL76" s="184"/>
      <c r="AM76" s="168"/>
      <c r="AN76" s="168"/>
      <c r="AO76" s="168"/>
      <c r="AP76" s="199">
        <f>IF(AP$40&gt;0,(AP$40-AP88)*1000,0)</f>
        <v>0</v>
      </c>
      <c r="AQ76" s="171">
        <f t="shared" si="19"/>
        <v>0</v>
      </c>
      <c r="AR76" s="171">
        <f t="shared" si="19"/>
        <v>0</v>
      </c>
    </row>
    <row r="77" spans="2:44" s="150" customFormat="1" outlineLevel="1">
      <c r="B77" s="156" t="s">
        <v>16</v>
      </c>
      <c r="C77" s="185" t="s">
        <v>143</v>
      </c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86"/>
      <c r="AI77" s="167"/>
      <c r="AJ77" s="167"/>
      <c r="AK77" s="167"/>
      <c r="AL77" s="186"/>
      <c r="AM77" s="167"/>
      <c r="AN77" s="167"/>
      <c r="AO77" s="167"/>
      <c r="AP77" s="199">
        <f>IF(AP$41&gt;0,(AP$41-AP89)*1000,0)</f>
        <v>0</v>
      </c>
      <c r="AQ77" s="172">
        <f t="shared" si="19"/>
        <v>0</v>
      </c>
      <c r="AR77" s="172">
        <f t="shared" si="19"/>
        <v>0</v>
      </c>
    </row>
    <row r="78" spans="2:44" s="150" customFormat="1" outlineLevel="1">
      <c r="B78" s="157" t="s">
        <v>75</v>
      </c>
      <c r="C78" s="183" t="s">
        <v>143</v>
      </c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81"/>
      <c r="AQ78" s="168"/>
      <c r="AR78" s="168"/>
    </row>
    <row r="79" spans="2:44" s="150" customFormat="1" ht="15.75" outlineLevel="1" thickBot="1">
      <c r="B79" s="156" t="s">
        <v>8</v>
      </c>
      <c r="C79" s="160" t="s">
        <v>297</v>
      </c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200">
        <f>IF(AP$36&gt;0,(AP$36-AP91)*1000,0)</f>
        <v>0</v>
      </c>
      <c r="AQ79" s="172">
        <f>-$AP79/2</f>
        <v>0</v>
      </c>
      <c r="AR79" s="172">
        <f>-$AP79/2</f>
        <v>0</v>
      </c>
    </row>
    <row r="80" spans="2:44" s="150" customFormat="1" outlineLevel="1">
      <c r="B80" s="152"/>
      <c r="C80" s="163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205"/>
      <c r="AK80" s="166"/>
      <c r="AL80" s="205"/>
      <c r="AM80" s="205" t="s">
        <v>103</v>
      </c>
      <c r="AN80" s="205" t="s">
        <v>103</v>
      </c>
      <c r="AO80" s="205" t="s">
        <v>103</v>
      </c>
      <c r="AP80" s="205" t="s">
        <v>103</v>
      </c>
      <c r="AQ80" s="205" t="s">
        <v>103</v>
      </c>
      <c r="AR80" s="205" t="s">
        <v>103</v>
      </c>
    </row>
    <row r="81" spans="2:44" s="150" customFormat="1" outlineLevel="1">
      <c r="B81" s="174" t="s">
        <v>262</v>
      </c>
      <c r="C81" s="163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92"/>
      <c r="AJ81" s="196"/>
      <c r="AK81" s="166"/>
      <c r="AL81" s="166"/>
      <c r="AM81" s="166"/>
      <c r="AN81" s="166"/>
      <c r="AO81" s="166"/>
      <c r="AP81" s="166"/>
      <c r="AQ81" s="166"/>
      <c r="AR81" s="166"/>
    </row>
    <row r="82" spans="2:44" s="150" customFormat="1" outlineLevel="1">
      <c r="B82" s="151" t="s">
        <v>69</v>
      </c>
      <c r="C82" s="158"/>
      <c r="D82" s="155">
        <v>32874</v>
      </c>
      <c r="E82" s="155">
        <v>33239</v>
      </c>
      <c r="F82" s="155">
        <v>33604</v>
      </c>
      <c r="G82" s="155">
        <v>33970</v>
      </c>
      <c r="H82" s="155">
        <v>34335</v>
      </c>
      <c r="I82" s="155">
        <v>34700</v>
      </c>
      <c r="J82" s="155">
        <v>35065</v>
      </c>
      <c r="K82" s="155">
        <v>35431</v>
      </c>
      <c r="L82" s="155">
        <v>35796</v>
      </c>
      <c r="M82" s="155">
        <v>36161</v>
      </c>
      <c r="N82" s="155">
        <v>36526</v>
      </c>
      <c r="O82" s="155">
        <v>36892</v>
      </c>
      <c r="P82" s="155">
        <v>37257</v>
      </c>
      <c r="Q82" s="155">
        <v>37622</v>
      </c>
      <c r="R82" s="155">
        <v>37987</v>
      </c>
      <c r="S82" s="155">
        <v>38353</v>
      </c>
      <c r="T82" s="155">
        <v>38718</v>
      </c>
      <c r="U82" s="155">
        <v>39083</v>
      </c>
      <c r="V82" s="155">
        <v>39448</v>
      </c>
      <c r="W82" s="155">
        <v>39814</v>
      </c>
      <c r="X82" s="155">
        <v>40179</v>
      </c>
      <c r="Y82" s="155">
        <v>40544</v>
      </c>
      <c r="Z82" s="155">
        <v>40909</v>
      </c>
      <c r="AA82" s="155">
        <v>41275</v>
      </c>
      <c r="AB82" s="155">
        <v>41640</v>
      </c>
      <c r="AC82" s="155">
        <v>42005</v>
      </c>
      <c r="AD82" s="155">
        <v>42370</v>
      </c>
      <c r="AE82" s="155">
        <v>42736</v>
      </c>
      <c r="AF82" s="155">
        <v>43101</v>
      </c>
      <c r="AG82" s="155">
        <v>43466</v>
      </c>
      <c r="AH82" s="208">
        <v>43831</v>
      </c>
      <c r="AI82" s="155">
        <v>44197</v>
      </c>
      <c r="AJ82" s="208">
        <v>44562</v>
      </c>
      <c r="AK82" s="155">
        <v>44927</v>
      </c>
      <c r="AL82" s="155">
        <v>45292</v>
      </c>
      <c r="AM82" s="155">
        <v>45658</v>
      </c>
      <c r="AN82" s="155">
        <v>46023</v>
      </c>
      <c r="AO82" s="155">
        <v>46388</v>
      </c>
      <c r="AP82" s="155">
        <v>46753</v>
      </c>
      <c r="AQ82" s="155">
        <v>47119</v>
      </c>
      <c r="AR82" s="155">
        <v>47484</v>
      </c>
    </row>
    <row r="83" spans="2:44" s="150" customFormat="1" outlineLevel="1">
      <c r="B83" s="156" t="s">
        <v>278</v>
      </c>
      <c r="C83" s="185" t="s">
        <v>286</v>
      </c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94"/>
      <c r="AI83" s="167"/>
      <c r="AJ83" s="178"/>
      <c r="AK83" s="167"/>
      <c r="AL83" s="167"/>
      <c r="AM83" s="194"/>
      <c r="AN83" s="167"/>
      <c r="AO83" s="178"/>
      <c r="AP83" s="167">
        <f t="shared" ref="AP83:AR89" si="20">AP107+AP95/1000</f>
        <v>541.76633426690921</v>
      </c>
      <c r="AQ83" s="167">
        <f t="shared" si="20"/>
        <v>500.76633426690915</v>
      </c>
      <c r="AR83" s="167">
        <f t="shared" si="20"/>
        <v>456.76633426690915</v>
      </c>
    </row>
    <row r="84" spans="2:44" s="150" customFormat="1" outlineLevel="1">
      <c r="B84" s="157" t="s">
        <v>8</v>
      </c>
      <c r="C84" s="183" t="s">
        <v>286</v>
      </c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93"/>
      <c r="AI84" s="168"/>
      <c r="AJ84" s="176"/>
      <c r="AK84" s="168"/>
      <c r="AL84" s="168"/>
      <c r="AM84" s="193"/>
      <c r="AN84" s="168"/>
      <c r="AO84" s="176"/>
      <c r="AP84" s="171" t="e">
        <f t="shared" si="20"/>
        <v>#N/A</v>
      </c>
      <c r="AQ84" s="171" t="e">
        <f t="shared" si="20"/>
        <v>#N/A</v>
      </c>
      <c r="AR84" s="171" t="e">
        <f t="shared" si="20"/>
        <v>#N/A</v>
      </c>
    </row>
    <row r="85" spans="2:44" s="150" customFormat="1" outlineLevel="1">
      <c r="B85" s="156" t="s">
        <v>9</v>
      </c>
      <c r="C85" s="185" t="s">
        <v>286</v>
      </c>
      <c r="D85" s="167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94"/>
      <c r="AI85" s="167"/>
      <c r="AJ85" s="178"/>
      <c r="AK85" s="167"/>
      <c r="AL85" s="167"/>
      <c r="AM85" s="194"/>
      <c r="AN85" s="167"/>
      <c r="AO85" s="178"/>
      <c r="AP85" s="167">
        <f t="shared" si="20"/>
        <v>138.49204001506132</v>
      </c>
      <c r="AQ85" s="167">
        <f t="shared" si="20"/>
        <v>131.49204001506129</v>
      </c>
      <c r="AR85" s="167">
        <f t="shared" si="20"/>
        <v>124.49204001506129</v>
      </c>
    </row>
    <row r="86" spans="2:44" s="150" customFormat="1" outlineLevel="1">
      <c r="B86" s="180" t="s">
        <v>10</v>
      </c>
      <c r="C86" s="183" t="s">
        <v>286</v>
      </c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93"/>
      <c r="AI86" s="168"/>
      <c r="AJ86" s="176"/>
      <c r="AK86" s="168"/>
      <c r="AL86" s="168"/>
      <c r="AM86" s="193"/>
      <c r="AN86" s="168"/>
      <c r="AO86" s="176"/>
      <c r="AP86" s="168">
        <f t="shared" si="20"/>
        <v>74.993523317110458</v>
      </c>
      <c r="AQ86" s="168">
        <f t="shared" si="20"/>
        <v>69.993523317110458</v>
      </c>
      <c r="AR86" s="168">
        <f t="shared" si="20"/>
        <v>64.993523317110458</v>
      </c>
    </row>
    <row r="87" spans="2:44" s="150" customFormat="1" outlineLevel="1">
      <c r="B87" s="156" t="s">
        <v>14</v>
      </c>
      <c r="C87" s="185" t="s">
        <v>286</v>
      </c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94"/>
      <c r="AI87" s="173"/>
      <c r="AJ87" s="178"/>
      <c r="AK87" s="173"/>
      <c r="AL87" s="173"/>
      <c r="AM87" s="194"/>
      <c r="AN87" s="173"/>
      <c r="AO87" s="178"/>
      <c r="AP87" s="167">
        <f t="shared" si="20"/>
        <v>98.957431134760384</v>
      </c>
      <c r="AQ87" s="167">
        <f t="shared" si="20"/>
        <v>89.957431134760384</v>
      </c>
      <c r="AR87" s="167">
        <f t="shared" si="20"/>
        <v>78.957431134760384</v>
      </c>
    </row>
    <row r="88" spans="2:44" s="150" customFormat="1" outlineLevel="1">
      <c r="B88" s="157" t="s">
        <v>15</v>
      </c>
      <c r="C88" s="183" t="s">
        <v>286</v>
      </c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93"/>
      <c r="AI88" s="168"/>
      <c r="AJ88" s="176"/>
      <c r="AK88" s="168"/>
      <c r="AL88" s="168"/>
      <c r="AM88" s="193"/>
      <c r="AN88" s="168"/>
      <c r="AO88" s="176"/>
      <c r="AP88" s="168">
        <f t="shared" si="20"/>
        <v>61.804760460583658</v>
      </c>
      <c r="AQ88" s="168">
        <f t="shared" si="20"/>
        <v>59.804760460583658</v>
      </c>
      <c r="AR88" s="168">
        <f t="shared" si="20"/>
        <v>58.804760460583658</v>
      </c>
    </row>
    <row r="89" spans="2:44" s="150" customFormat="1" outlineLevel="1">
      <c r="B89" s="156" t="s">
        <v>16</v>
      </c>
      <c r="C89" s="185" t="s">
        <v>286</v>
      </c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94"/>
      <c r="AI89" s="167"/>
      <c r="AJ89" s="178"/>
      <c r="AK89" s="167"/>
      <c r="AL89" s="167"/>
      <c r="AM89" s="194"/>
      <c r="AN89" s="167"/>
      <c r="AO89" s="178"/>
      <c r="AP89" s="167">
        <f t="shared" si="20"/>
        <v>6.8333359954203834</v>
      </c>
      <c r="AQ89" s="167">
        <f t="shared" si="20"/>
        <v>6.8333359954203834</v>
      </c>
      <c r="AR89" s="167">
        <f t="shared" si="20"/>
        <v>5.8333359954203834</v>
      </c>
    </row>
    <row r="90" spans="2:44" s="150" customFormat="1" outlineLevel="1">
      <c r="B90" s="157" t="s">
        <v>75</v>
      </c>
      <c r="C90" s="183" t="s">
        <v>286</v>
      </c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82"/>
      <c r="AI90" s="168"/>
      <c r="AJ90" s="182"/>
      <c r="AK90" s="168"/>
      <c r="AL90" s="168"/>
      <c r="AM90" s="182"/>
      <c r="AN90" s="168"/>
      <c r="AO90" s="182"/>
      <c r="AP90" s="168"/>
      <c r="AQ90" s="168"/>
      <c r="AR90" s="168"/>
    </row>
    <row r="91" spans="2:44" s="150" customFormat="1" outlineLevel="1">
      <c r="B91" s="156" t="s">
        <v>8</v>
      </c>
      <c r="C91" s="160" t="s">
        <v>297</v>
      </c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95"/>
      <c r="AI91" s="167"/>
      <c r="AJ91" s="195"/>
      <c r="AK91" s="167"/>
      <c r="AL91" s="167"/>
      <c r="AM91" s="167"/>
      <c r="AN91" s="167"/>
      <c r="AO91" s="167"/>
      <c r="AP91" s="167">
        <f>AP115+AP103/1000</f>
        <v>160.87274334397299</v>
      </c>
      <c r="AQ91" s="167">
        <f>AQ115+AQ103/1000</f>
        <v>142.24774334397299</v>
      </c>
      <c r="AR91" s="167">
        <f>AR115+AR103/1000</f>
        <v>123.62274334397297</v>
      </c>
    </row>
    <row r="92" spans="2:44" s="150" customFormat="1" ht="29.25" customHeight="1" outlineLevel="1" thickBot="1">
      <c r="B92" s="154"/>
      <c r="C92" s="161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209"/>
      <c r="AI92" s="210"/>
      <c r="AJ92" s="206"/>
      <c r="AK92" s="207"/>
      <c r="AL92" s="207"/>
      <c r="AM92" s="206" t="s">
        <v>103</v>
      </c>
      <c r="AN92" s="206" t="s">
        <v>103</v>
      </c>
      <c r="AO92" s="206" t="s">
        <v>103</v>
      </c>
      <c r="AP92" s="206" t="s">
        <v>103</v>
      </c>
      <c r="AQ92" s="206" t="s">
        <v>103</v>
      </c>
      <c r="AR92" s="206" t="s">
        <v>103</v>
      </c>
    </row>
    <row r="93" spans="2:44" s="150" customFormat="1" outlineLevel="1">
      <c r="B93" s="174" t="s">
        <v>263</v>
      </c>
      <c r="C93" s="163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6"/>
      <c r="AK93" s="166" t="s">
        <v>41</v>
      </c>
      <c r="AL93" s="166"/>
      <c r="AM93" s="166"/>
      <c r="AN93" s="166"/>
      <c r="AO93" s="216" t="s">
        <v>259</v>
      </c>
      <c r="AP93" s="166"/>
      <c r="AQ93" s="166"/>
      <c r="AR93" s="166"/>
    </row>
    <row r="94" spans="2:44" s="150" customFormat="1" outlineLevel="1">
      <c r="B94" s="151" t="s">
        <v>69</v>
      </c>
      <c r="C94" s="158"/>
      <c r="D94" s="155">
        <v>32874</v>
      </c>
      <c r="E94" s="155">
        <v>33239</v>
      </c>
      <c r="F94" s="155">
        <v>33604</v>
      </c>
      <c r="G94" s="155">
        <v>33970</v>
      </c>
      <c r="H94" s="155">
        <v>34335</v>
      </c>
      <c r="I94" s="155">
        <v>34700</v>
      </c>
      <c r="J94" s="155">
        <v>35065</v>
      </c>
      <c r="K94" s="155">
        <v>35431</v>
      </c>
      <c r="L94" s="155">
        <v>35796</v>
      </c>
      <c r="M94" s="155">
        <v>36161</v>
      </c>
      <c r="N94" s="155">
        <v>36526</v>
      </c>
      <c r="O94" s="155">
        <v>36892</v>
      </c>
      <c r="P94" s="155">
        <v>37257</v>
      </c>
      <c r="Q94" s="155">
        <v>37622</v>
      </c>
      <c r="R94" s="155">
        <v>37987</v>
      </c>
      <c r="S94" s="155">
        <v>38353</v>
      </c>
      <c r="T94" s="155">
        <v>38718</v>
      </c>
      <c r="U94" s="155">
        <v>39083</v>
      </c>
      <c r="V94" s="155">
        <v>39448</v>
      </c>
      <c r="W94" s="155">
        <v>39814</v>
      </c>
      <c r="X94" s="155">
        <v>40179</v>
      </c>
      <c r="Y94" s="155">
        <v>40544</v>
      </c>
      <c r="Z94" s="155">
        <v>40909</v>
      </c>
      <c r="AA94" s="155">
        <v>41275</v>
      </c>
      <c r="AB94" s="155">
        <v>41640</v>
      </c>
      <c r="AC94" s="155">
        <v>42005</v>
      </c>
      <c r="AD94" s="155">
        <v>42370</v>
      </c>
      <c r="AE94" s="155">
        <v>42736</v>
      </c>
      <c r="AF94" s="155">
        <v>43101</v>
      </c>
      <c r="AG94" s="155">
        <v>43466</v>
      </c>
      <c r="AH94" s="155">
        <v>43831</v>
      </c>
      <c r="AI94" s="155">
        <v>44197</v>
      </c>
      <c r="AJ94" s="155">
        <v>44562</v>
      </c>
      <c r="AK94" s="155">
        <v>44927</v>
      </c>
      <c r="AL94" s="155">
        <v>45292</v>
      </c>
      <c r="AM94" s="155">
        <v>45658</v>
      </c>
      <c r="AN94" s="155">
        <v>46023</v>
      </c>
      <c r="AO94" s="175">
        <v>46388</v>
      </c>
      <c r="AP94" s="155">
        <v>46753</v>
      </c>
      <c r="AQ94" s="155">
        <v>47119</v>
      </c>
      <c r="AR94" s="155">
        <v>47484</v>
      </c>
    </row>
    <row r="95" spans="2:44" s="150" customFormat="1" outlineLevel="1">
      <c r="B95" s="156" t="s">
        <v>278</v>
      </c>
      <c r="C95" s="185" t="s">
        <v>143</v>
      </c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86"/>
      <c r="AI95" s="167"/>
      <c r="AJ95" s="167"/>
      <c r="AK95" s="167"/>
      <c r="AL95" s="167"/>
      <c r="AM95" s="167"/>
      <c r="AN95" s="167"/>
      <c r="AO95" s="199">
        <f>IF(AO$35&gt;0,(AO$35-AO107)*1000,0)</f>
        <v>0</v>
      </c>
      <c r="AP95" s="172">
        <f>-$AO95/3</f>
        <v>0</v>
      </c>
      <c r="AQ95" s="172">
        <f t="shared" ref="AQ95:AR103" si="21">-$AO95/3</f>
        <v>0</v>
      </c>
      <c r="AR95" s="172">
        <f t="shared" si="21"/>
        <v>0</v>
      </c>
    </row>
    <row r="96" spans="2:44" s="150" customFormat="1" outlineLevel="1">
      <c r="B96" s="157" t="s">
        <v>8</v>
      </c>
      <c r="C96" s="183" t="s">
        <v>143</v>
      </c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8"/>
      <c r="AH96" s="184"/>
      <c r="AI96" s="168"/>
      <c r="AJ96" s="168"/>
      <c r="AK96" s="168"/>
      <c r="AL96" s="168"/>
      <c r="AM96" s="168"/>
      <c r="AN96" s="168"/>
      <c r="AO96" s="199" t="e">
        <f t="shared" ref="AO96" si="22">(AO36-AO108)*1000</f>
        <v>#N/A</v>
      </c>
      <c r="AP96" s="204" t="e">
        <v>#N/A</v>
      </c>
      <c r="AQ96" s="204" t="e">
        <v>#N/A</v>
      </c>
      <c r="AR96" s="204" t="e">
        <v>#N/A</v>
      </c>
    </row>
    <row r="97" spans="2:44" s="150" customFormat="1" outlineLevel="1">
      <c r="B97" s="156" t="s">
        <v>9</v>
      </c>
      <c r="C97" s="185" t="s">
        <v>143</v>
      </c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86"/>
      <c r="AI97" s="167"/>
      <c r="AJ97" s="167"/>
      <c r="AK97" s="167"/>
      <c r="AL97" s="167"/>
      <c r="AM97" s="167"/>
      <c r="AN97" s="167"/>
      <c r="AO97" s="199">
        <f>IF(AO$37&gt;0,(AO$37-AO109)*1000,0)</f>
        <v>0</v>
      </c>
      <c r="AP97" s="172">
        <f>-$AO97/3</f>
        <v>0</v>
      </c>
      <c r="AQ97" s="172">
        <f t="shared" si="21"/>
        <v>0</v>
      </c>
      <c r="AR97" s="172">
        <f t="shared" si="21"/>
        <v>0</v>
      </c>
    </row>
    <row r="98" spans="2:44" s="150" customFormat="1" outlineLevel="1">
      <c r="B98" s="180" t="s">
        <v>10</v>
      </c>
      <c r="C98" s="183" t="s">
        <v>143</v>
      </c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  <c r="T98" s="168"/>
      <c r="U98" s="168"/>
      <c r="V98" s="168"/>
      <c r="W98" s="168"/>
      <c r="X98" s="168"/>
      <c r="Y98" s="168"/>
      <c r="Z98" s="168"/>
      <c r="AA98" s="168"/>
      <c r="AB98" s="168"/>
      <c r="AC98" s="168"/>
      <c r="AD98" s="168"/>
      <c r="AE98" s="168"/>
      <c r="AF98" s="168"/>
      <c r="AG98" s="168"/>
      <c r="AH98" s="184"/>
      <c r="AI98" s="168"/>
      <c r="AJ98" s="168"/>
      <c r="AK98" s="168"/>
      <c r="AL98" s="168"/>
      <c r="AM98" s="168"/>
      <c r="AN98" s="168"/>
      <c r="AO98" s="199">
        <f>IF(AO$38&gt;0,(AO$38-AO110)*1000,0)</f>
        <v>0</v>
      </c>
      <c r="AP98" s="171">
        <f>-$AO98/3</f>
        <v>0</v>
      </c>
      <c r="AQ98" s="171">
        <f t="shared" si="21"/>
        <v>0</v>
      </c>
      <c r="AR98" s="171">
        <f t="shared" si="21"/>
        <v>0</v>
      </c>
    </row>
    <row r="99" spans="2:44" s="150" customFormat="1" outlineLevel="1">
      <c r="B99" s="156" t="s">
        <v>14</v>
      </c>
      <c r="C99" s="185" t="s">
        <v>143</v>
      </c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86"/>
      <c r="AI99" s="173"/>
      <c r="AJ99" s="173"/>
      <c r="AK99" s="173"/>
      <c r="AL99" s="173"/>
      <c r="AM99" s="173"/>
      <c r="AN99" s="173"/>
      <c r="AO99" s="199">
        <f>IF(AO$39&gt;0,(AO$39-AO111)*1000,0)</f>
        <v>0</v>
      </c>
      <c r="AP99" s="172">
        <f t="shared" ref="AP99:AP101" si="23">-$AO99/3</f>
        <v>0</v>
      </c>
      <c r="AQ99" s="172">
        <f t="shared" si="21"/>
        <v>0</v>
      </c>
      <c r="AR99" s="172">
        <f t="shared" si="21"/>
        <v>0</v>
      </c>
    </row>
    <row r="100" spans="2:44" s="150" customFormat="1" outlineLevel="1">
      <c r="B100" s="157" t="s">
        <v>15</v>
      </c>
      <c r="C100" s="183" t="s">
        <v>143</v>
      </c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84"/>
      <c r="AI100" s="168"/>
      <c r="AJ100" s="168"/>
      <c r="AK100" s="168"/>
      <c r="AL100" s="168"/>
      <c r="AM100" s="168"/>
      <c r="AN100" s="168"/>
      <c r="AO100" s="199">
        <f>IF(AO$40&gt;0,(AO$40-AO112)*1000,0)</f>
        <v>0</v>
      </c>
      <c r="AP100" s="171">
        <f t="shared" si="23"/>
        <v>0</v>
      </c>
      <c r="AQ100" s="171">
        <f t="shared" si="21"/>
        <v>0</v>
      </c>
      <c r="AR100" s="171">
        <f t="shared" si="21"/>
        <v>0</v>
      </c>
    </row>
    <row r="101" spans="2:44" s="150" customFormat="1" outlineLevel="1">
      <c r="B101" s="156" t="s">
        <v>16</v>
      </c>
      <c r="C101" s="185" t="s">
        <v>143</v>
      </c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86"/>
      <c r="AI101" s="167"/>
      <c r="AJ101" s="167"/>
      <c r="AK101" s="167"/>
      <c r="AL101" s="167"/>
      <c r="AM101" s="167"/>
      <c r="AN101" s="167"/>
      <c r="AO101" s="199">
        <f>IF(AO$41&gt;0,(AO$41-AO113)*1000,0)</f>
        <v>0</v>
      </c>
      <c r="AP101" s="172">
        <f t="shared" si="23"/>
        <v>0</v>
      </c>
      <c r="AQ101" s="172">
        <f t="shared" si="21"/>
        <v>0</v>
      </c>
      <c r="AR101" s="172">
        <f t="shared" si="21"/>
        <v>0</v>
      </c>
    </row>
    <row r="102" spans="2:44" s="150" customFormat="1" outlineLevel="1">
      <c r="B102" s="157" t="s">
        <v>75</v>
      </c>
      <c r="C102" s="183" t="s">
        <v>143</v>
      </c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  <c r="Y102" s="168"/>
      <c r="Z102" s="168"/>
      <c r="AA102" s="168"/>
      <c r="AB102" s="168"/>
      <c r="AC102" s="168"/>
      <c r="AD102" s="168"/>
      <c r="AE102" s="168"/>
      <c r="AF102" s="168"/>
      <c r="AG102" s="168"/>
      <c r="AH102" s="168"/>
      <c r="AI102" s="168"/>
      <c r="AJ102" s="168"/>
      <c r="AK102" s="168"/>
      <c r="AL102" s="168"/>
      <c r="AM102" s="168"/>
      <c r="AN102" s="168"/>
      <c r="AO102" s="181"/>
      <c r="AP102" s="168"/>
      <c r="AQ102" s="168"/>
      <c r="AR102" s="168"/>
    </row>
    <row r="103" spans="2:44" s="150" customFormat="1" ht="15.75" outlineLevel="1" thickBot="1">
      <c r="B103" s="156" t="s">
        <v>8</v>
      </c>
      <c r="C103" s="160" t="s">
        <v>297</v>
      </c>
      <c r="D103" s="167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200">
        <f>IF(AO$36&gt;0,(AO$36-AO115)*1000,0)</f>
        <v>0</v>
      </c>
      <c r="AP103" s="172">
        <f>-$AO103/3</f>
        <v>0</v>
      </c>
      <c r="AQ103" s="172">
        <f t="shared" si="21"/>
        <v>0</v>
      </c>
      <c r="AR103" s="172">
        <f t="shared" si="21"/>
        <v>0</v>
      </c>
    </row>
    <row r="104" spans="2:44" s="150" customFormat="1" outlineLevel="1">
      <c r="B104" s="152"/>
      <c r="C104" s="163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205"/>
      <c r="AK104" s="166"/>
      <c r="AL104" s="205"/>
      <c r="AM104" s="205" t="s">
        <v>103</v>
      </c>
      <c r="AN104" s="205" t="s">
        <v>103</v>
      </c>
      <c r="AO104" s="205" t="s">
        <v>103</v>
      </c>
      <c r="AP104" s="205" t="s">
        <v>103</v>
      </c>
      <c r="AQ104" s="205" t="s">
        <v>103</v>
      </c>
      <c r="AR104" s="205" t="s">
        <v>103</v>
      </c>
    </row>
    <row r="105" spans="2:44" s="150" customFormat="1" outlineLevel="1">
      <c r="B105" s="174" t="s">
        <v>264</v>
      </c>
      <c r="C105" s="163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92"/>
      <c r="AJ105" s="196"/>
      <c r="AK105" s="166"/>
      <c r="AL105" s="166"/>
      <c r="AM105" s="166"/>
      <c r="AN105" s="166"/>
      <c r="AO105" s="166"/>
      <c r="AP105" s="166"/>
      <c r="AQ105" s="166"/>
      <c r="AR105" s="166"/>
    </row>
    <row r="106" spans="2:44" s="150" customFormat="1" outlineLevel="1">
      <c r="B106" s="151" t="s">
        <v>69</v>
      </c>
      <c r="C106" s="158"/>
      <c r="D106" s="155">
        <v>32874</v>
      </c>
      <c r="E106" s="155">
        <v>33239</v>
      </c>
      <c r="F106" s="155">
        <v>33604</v>
      </c>
      <c r="G106" s="155">
        <v>33970</v>
      </c>
      <c r="H106" s="155">
        <v>34335</v>
      </c>
      <c r="I106" s="155">
        <v>34700</v>
      </c>
      <c r="J106" s="155">
        <v>35065</v>
      </c>
      <c r="K106" s="155">
        <v>35431</v>
      </c>
      <c r="L106" s="155">
        <v>35796</v>
      </c>
      <c r="M106" s="155">
        <v>36161</v>
      </c>
      <c r="N106" s="155">
        <v>36526</v>
      </c>
      <c r="O106" s="155">
        <v>36892</v>
      </c>
      <c r="P106" s="155">
        <v>37257</v>
      </c>
      <c r="Q106" s="155">
        <v>37622</v>
      </c>
      <c r="R106" s="155">
        <v>37987</v>
      </c>
      <c r="S106" s="155">
        <v>38353</v>
      </c>
      <c r="T106" s="155">
        <v>38718</v>
      </c>
      <c r="U106" s="155">
        <v>39083</v>
      </c>
      <c r="V106" s="155">
        <v>39448</v>
      </c>
      <c r="W106" s="155">
        <v>39814</v>
      </c>
      <c r="X106" s="155">
        <v>40179</v>
      </c>
      <c r="Y106" s="155">
        <v>40544</v>
      </c>
      <c r="Z106" s="155">
        <v>40909</v>
      </c>
      <c r="AA106" s="155">
        <v>41275</v>
      </c>
      <c r="AB106" s="155">
        <v>41640</v>
      </c>
      <c r="AC106" s="155">
        <v>42005</v>
      </c>
      <c r="AD106" s="155">
        <v>42370</v>
      </c>
      <c r="AE106" s="155">
        <v>42736</v>
      </c>
      <c r="AF106" s="155">
        <v>43101</v>
      </c>
      <c r="AG106" s="155">
        <v>43466</v>
      </c>
      <c r="AH106" s="208">
        <v>43831</v>
      </c>
      <c r="AI106" s="155">
        <v>44197</v>
      </c>
      <c r="AJ106" s="208">
        <v>44562</v>
      </c>
      <c r="AK106" s="155">
        <v>44927</v>
      </c>
      <c r="AL106" s="155">
        <v>45292</v>
      </c>
      <c r="AM106" s="155">
        <v>45658</v>
      </c>
      <c r="AN106" s="155">
        <v>46023</v>
      </c>
      <c r="AO106" s="155">
        <v>46388</v>
      </c>
      <c r="AP106" s="155">
        <v>46753</v>
      </c>
      <c r="AQ106" s="155">
        <v>47119</v>
      </c>
      <c r="AR106" s="155">
        <v>47484</v>
      </c>
    </row>
    <row r="107" spans="2:44" s="150" customFormat="1" outlineLevel="1">
      <c r="B107" s="156" t="s">
        <v>278</v>
      </c>
      <c r="C107" s="185" t="s">
        <v>290</v>
      </c>
      <c r="D107" s="167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94"/>
      <c r="AI107" s="167"/>
      <c r="AJ107" s="178"/>
      <c r="AK107" s="167"/>
      <c r="AL107" s="194"/>
      <c r="AM107" s="167"/>
      <c r="AN107" s="178"/>
      <c r="AO107" s="178">
        <f t="shared" ref="AO107:AR113" si="24">AO131+AO119/1000</f>
        <v>583.76633426690921</v>
      </c>
      <c r="AP107" s="178">
        <f t="shared" si="24"/>
        <v>541.76633426690921</v>
      </c>
      <c r="AQ107" s="178">
        <f t="shared" si="24"/>
        <v>500.76633426690915</v>
      </c>
      <c r="AR107" s="178">
        <f t="shared" si="24"/>
        <v>456.76633426690915</v>
      </c>
    </row>
    <row r="108" spans="2:44" s="150" customFormat="1" outlineLevel="1">
      <c r="B108" s="157" t="s">
        <v>8</v>
      </c>
      <c r="C108" s="183" t="s">
        <v>285</v>
      </c>
      <c r="D108" s="168"/>
      <c r="E108" s="168"/>
      <c r="F108" s="168"/>
      <c r="G108" s="168"/>
      <c r="H108" s="168"/>
      <c r="I108" s="168"/>
      <c r="J108" s="168"/>
      <c r="K108" s="168"/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68"/>
      <c r="AE108" s="168"/>
      <c r="AF108" s="168"/>
      <c r="AG108" s="168"/>
      <c r="AH108" s="193"/>
      <c r="AI108" s="168"/>
      <c r="AJ108" s="176"/>
      <c r="AK108" s="168"/>
      <c r="AL108" s="193"/>
      <c r="AM108" s="168"/>
      <c r="AN108" s="176"/>
      <c r="AO108" s="171" t="e">
        <f t="shared" si="24"/>
        <v>#N/A</v>
      </c>
      <c r="AP108" s="171" t="e">
        <f t="shared" si="24"/>
        <v>#N/A</v>
      </c>
      <c r="AQ108" s="171" t="e">
        <f t="shared" si="24"/>
        <v>#N/A</v>
      </c>
      <c r="AR108" s="171" t="e">
        <f t="shared" si="24"/>
        <v>#N/A</v>
      </c>
    </row>
    <row r="109" spans="2:44" s="150" customFormat="1" outlineLevel="1">
      <c r="B109" s="156" t="s">
        <v>9</v>
      </c>
      <c r="C109" s="185" t="s">
        <v>285</v>
      </c>
      <c r="D109" s="167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94"/>
      <c r="AI109" s="167"/>
      <c r="AJ109" s="178"/>
      <c r="AK109" s="167"/>
      <c r="AL109" s="194"/>
      <c r="AM109" s="167"/>
      <c r="AN109" s="178"/>
      <c r="AO109" s="178">
        <f t="shared" si="24"/>
        <v>146.49204001506132</v>
      </c>
      <c r="AP109" s="178">
        <f t="shared" si="24"/>
        <v>138.49204001506132</v>
      </c>
      <c r="AQ109" s="178">
        <f t="shared" si="24"/>
        <v>131.49204001506129</v>
      </c>
      <c r="AR109" s="178">
        <f t="shared" si="24"/>
        <v>124.49204001506129</v>
      </c>
    </row>
    <row r="110" spans="2:44" s="150" customFormat="1" outlineLevel="1">
      <c r="B110" s="180" t="s">
        <v>10</v>
      </c>
      <c r="C110" s="183" t="s">
        <v>285</v>
      </c>
      <c r="D110" s="168"/>
      <c r="E110" s="168"/>
      <c r="F110" s="168"/>
      <c r="G110" s="168"/>
      <c r="H110" s="168"/>
      <c r="I110" s="168"/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68"/>
      <c r="AG110" s="168"/>
      <c r="AH110" s="193"/>
      <c r="AI110" s="168"/>
      <c r="AJ110" s="176"/>
      <c r="AK110" s="168"/>
      <c r="AL110" s="193"/>
      <c r="AM110" s="168"/>
      <c r="AN110" s="176"/>
      <c r="AO110" s="176">
        <f t="shared" si="24"/>
        <v>79.993523317110458</v>
      </c>
      <c r="AP110" s="176">
        <f t="shared" si="24"/>
        <v>74.993523317110458</v>
      </c>
      <c r="AQ110" s="176">
        <f t="shared" si="24"/>
        <v>69.993523317110458</v>
      </c>
      <c r="AR110" s="176">
        <f t="shared" si="24"/>
        <v>64.993523317110458</v>
      </c>
    </row>
    <row r="111" spans="2:44" s="150" customFormat="1" outlineLevel="1">
      <c r="B111" s="156" t="s">
        <v>14</v>
      </c>
      <c r="C111" s="185" t="s">
        <v>285</v>
      </c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94"/>
      <c r="AI111" s="173"/>
      <c r="AJ111" s="178"/>
      <c r="AK111" s="173"/>
      <c r="AL111" s="194"/>
      <c r="AM111" s="173"/>
      <c r="AN111" s="178"/>
      <c r="AO111" s="178">
        <f t="shared" si="24"/>
        <v>105.95743113476038</v>
      </c>
      <c r="AP111" s="178">
        <f t="shared" si="24"/>
        <v>98.957431134760384</v>
      </c>
      <c r="AQ111" s="178">
        <f t="shared" si="24"/>
        <v>89.957431134760384</v>
      </c>
      <c r="AR111" s="178">
        <f t="shared" si="24"/>
        <v>78.957431134760384</v>
      </c>
    </row>
    <row r="112" spans="2:44" s="150" customFormat="1" outlineLevel="1">
      <c r="B112" s="157" t="s">
        <v>15</v>
      </c>
      <c r="C112" s="183" t="s">
        <v>285</v>
      </c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93"/>
      <c r="AI112" s="168"/>
      <c r="AJ112" s="176"/>
      <c r="AK112" s="168"/>
      <c r="AL112" s="193"/>
      <c r="AM112" s="168"/>
      <c r="AN112" s="176"/>
      <c r="AO112" s="176">
        <f t="shared" si="24"/>
        <v>63.804760460583658</v>
      </c>
      <c r="AP112" s="176">
        <f t="shared" si="24"/>
        <v>61.804760460583658</v>
      </c>
      <c r="AQ112" s="176">
        <f t="shared" si="24"/>
        <v>59.804760460583658</v>
      </c>
      <c r="AR112" s="176">
        <f t="shared" si="24"/>
        <v>58.804760460583658</v>
      </c>
    </row>
    <row r="113" spans="2:44" s="150" customFormat="1" outlineLevel="1">
      <c r="B113" s="156" t="s">
        <v>16</v>
      </c>
      <c r="C113" s="185" t="s">
        <v>285</v>
      </c>
      <c r="D113" s="167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94"/>
      <c r="AI113" s="167"/>
      <c r="AJ113" s="178"/>
      <c r="AK113" s="167"/>
      <c r="AL113" s="194"/>
      <c r="AM113" s="167"/>
      <c r="AN113" s="178"/>
      <c r="AO113" s="178">
        <f t="shared" si="24"/>
        <v>7.8333359954203834</v>
      </c>
      <c r="AP113" s="178">
        <f t="shared" si="24"/>
        <v>6.8333359954203834</v>
      </c>
      <c r="AQ113" s="178">
        <f t="shared" si="24"/>
        <v>6.8333359954203834</v>
      </c>
      <c r="AR113" s="178">
        <f t="shared" si="24"/>
        <v>5.8333359954203834</v>
      </c>
    </row>
    <row r="114" spans="2:44" s="150" customFormat="1" outlineLevel="1">
      <c r="B114" s="157" t="s">
        <v>75</v>
      </c>
      <c r="C114" s="183" t="s">
        <v>285</v>
      </c>
      <c r="D114" s="168"/>
      <c r="E114" s="168"/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68"/>
      <c r="AE114" s="168"/>
      <c r="AF114" s="168"/>
      <c r="AG114" s="168"/>
      <c r="AH114" s="182"/>
      <c r="AI114" s="168"/>
      <c r="AJ114" s="182"/>
      <c r="AK114" s="168"/>
      <c r="AL114" s="182"/>
      <c r="AM114" s="168"/>
      <c r="AN114" s="182"/>
      <c r="AO114" s="168"/>
      <c r="AP114" s="168"/>
      <c r="AQ114" s="168"/>
      <c r="AR114" s="168"/>
    </row>
    <row r="115" spans="2:44" s="150" customFormat="1" outlineLevel="1">
      <c r="B115" s="156" t="s">
        <v>8</v>
      </c>
      <c r="C115" s="160" t="s">
        <v>297</v>
      </c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95"/>
      <c r="AI115" s="167"/>
      <c r="AJ115" s="195"/>
      <c r="AK115" s="167"/>
      <c r="AL115" s="167"/>
      <c r="AM115" s="167"/>
      <c r="AN115" s="167"/>
      <c r="AO115" s="178">
        <f>AO139+AO127/1000</f>
        <v>179.49774334397299</v>
      </c>
      <c r="AP115" s="178">
        <f>AP139+AP127/1000</f>
        <v>160.87274334397299</v>
      </c>
      <c r="AQ115" s="178">
        <f>AQ139+AQ127/1000</f>
        <v>142.24774334397299</v>
      </c>
      <c r="AR115" s="178">
        <f>AR139+AR127/1000</f>
        <v>123.62274334397297</v>
      </c>
    </row>
    <row r="116" spans="2:44" s="150" customFormat="1" ht="29.25" customHeight="1" outlineLevel="1" thickBot="1">
      <c r="B116" s="154"/>
      <c r="C116" s="161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209"/>
      <c r="AI116" s="210"/>
      <c r="AJ116" s="206"/>
      <c r="AK116" s="207"/>
      <c r="AL116" s="207"/>
      <c r="AM116" s="206" t="s">
        <v>103</v>
      </c>
      <c r="AN116" s="206" t="s">
        <v>103</v>
      </c>
      <c r="AO116" s="206" t="s">
        <v>103</v>
      </c>
      <c r="AP116" s="206" t="s">
        <v>103</v>
      </c>
      <c r="AQ116" s="206" t="s">
        <v>103</v>
      </c>
      <c r="AR116" s="206" t="s">
        <v>103</v>
      </c>
    </row>
    <row r="117" spans="2:44" s="150" customFormat="1" outlineLevel="1">
      <c r="B117" s="174" t="s">
        <v>265</v>
      </c>
      <c r="C117" s="163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6"/>
      <c r="AK117" s="166" t="s">
        <v>41</v>
      </c>
      <c r="AL117" s="166"/>
      <c r="AM117" s="166"/>
      <c r="AN117" s="216" t="s">
        <v>259</v>
      </c>
      <c r="AO117" s="166"/>
      <c r="AP117" s="166"/>
      <c r="AQ117" s="166"/>
      <c r="AR117" s="166"/>
    </row>
    <row r="118" spans="2:44" s="150" customFormat="1" outlineLevel="1">
      <c r="B118" s="151" t="s">
        <v>69</v>
      </c>
      <c r="C118" s="158"/>
      <c r="D118" s="155">
        <v>32874</v>
      </c>
      <c r="E118" s="155">
        <v>33239</v>
      </c>
      <c r="F118" s="155">
        <v>33604</v>
      </c>
      <c r="G118" s="155">
        <v>33970</v>
      </c>
      <c r="H118" s="155">
        <v>34335</v>
      </c>
      <c r="I118" s="155">
        <v>34700</v>
      </c>
      <c r="J118" s="155">
        <v>35065</v>
      </c>
      <c r="K118" s="155">
        <v>35431</v>
      </c>
      <c r="L118" s="155">
        <v>35796</v>
      </c>
      <c r="M118" s="155">
        <v>36161</v>
      </c>
      <c r="N118" s="155">
        <v>36526</v>
      </c>
      <c r="O118" s="155">
        <v>36892</v>
      </c>
      <c r="P118" s="155">
        <v>37257</v>
      </c>
      <c r="Q118" s="155">
        <v>37622</v>
      </c>
      <c r="R118" s="155">
        <v>37987</v>
      </c>
      <c r="S118" s="155">
        <v>38353</v>
      </c>
      <c r="T118" s="155">
        <v>38718</v>
      </c>
      <c r="U118" s="155">
        <v>39083</v>
      </c>
      <c r="V118" s="155">
        <v>39448</v>
      </c>
      <c r="W118" s="155">
        <v>39814</v>
      </c>
      <c r="X118" s="155">
        <v>40179</v>
      </c>
      <c r="Y118" s="155">
        <v>40544</v>
      </c>
      <c r="Z118" s="155">
        <v>40909</v>
      </c>
      <c r="AA118" s="155">
        <v>41275</v>
      </c>
      <c r="AB118" s="155">
        <v>41640</v>
      </c>
      <c r="AC118" s="155">
        <v>42005</v>
      </c>
      <c r="AD118" s="155">
        <v>42370</v>
      </c>
      <c r="AE118" s="155">
        <v>42736</v>
      </c>
      <c r="AF118" s="155">
        <v>43101</v>
      </c>
      <c r="AG118" s="155">
        <v>43466</v>
      </c>
      <c r="AH118" s="155">
        <v>43831</v>
      </c>
      <c r="AI118" s="155">
        <v>44197</v>
      </c>
      <c r="AJ118" s="155">
        <v>44562</v>
      </c>
      <c r="AK118" s="155">
        <v>44927</v>
      </c>
      <c r="AL118" s="155">
        <v>45292</v>
      </c>
      <c r="AM118" s="155">
        <v>45658</v>
      </c>
      <c r="AN118" s="175">
        <v>46023</v>
      </c>
      <c r="AO118" s="155">
        <v>46388</v>
      </c>
      <c r="AP118" s="155">
        <v>46753</v>
      </c>
      <c r="AQ118" s="155">
        <v>47119</v>
      </c>
      <c r="AR118" s="155">
        <v>47484</v>
      </c>
    </row>
    <row r="119" spans="2:44" s="150" customFormat="1" outlineLevel="1">
      <c r="B119" s="156" t="s">
        <v>278</v>
      </c>
      <c r="C119" s="185" t="s">
        <v>143</v>
      </c>
      <c r="D119" s="167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86"/>
      <c r="AI119" s="167"/>
      <c r="AJ119" s="167"/>
      <c r="AK119" s="167"/>
      <c r="AL119" s="167"/>
      <c r="AM119" s="167"/>
      <c r="AN119" s="199">
        <f>IF(AN$35&gt;0,(AN$35-AN131)*1000,0)</f>
        <v>0</v>
      </c>
      <c r="AO119" s="172">
        <f>-$AN119/4</f>
        <v>0</v>
      </c>
      <c r="AP119" s="172">
        <f t="shared" ref="AP119:AR127" si="25">-$AN119/4</f>
        <v>0</v>
      </c>
      <c r="AQ119" s="172">
        <f t="shared" si="25"/>
        <v>0</v>
      </c>
      <c r="AR119" s="172">
        <f t="shared" si="25"/>
        <v>0</v>
      </c>
    </row>
    <row r="120" spans="2:44" s="150" customFormat="1" outlineLevel="1">
      <c r="B120" s="157" t="s">
        <v>8</v>
      </c>
      <c r="C120" s="183" t="s">
        <v>143</v>
      </c>
      <c r="D120" s="168"/>
      <c r="E120" s="168"/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68"/>
      <c r="AE120" s="168"/>
      <c r="AF120" s="168"/>
      <c r="AG120" s="168"/>
      <c r="AH120" s="184"/>
      <c r="AI120" s="168"/>
      <c r="AJ120" s="168"/>
      <c r="AK120" s="168"/>
      <c r="AL120" s="168"/>
      <c r="AM120" s="168"/>
      <c r="AN120" s="199" t="e">
        <f t="shared" ref="AN120" si="26">(AN36-AN132)*1000</f>
        <v>#N/A</v>
      </c>
      <c r="AO120" s="204" t="e">
        <v>#N/A</v>
      </c>
      <c r="AP120" s="204" t="e">
        <v>#N/A</v>
      </c>
      <c r="AQ120" s="204" t="e">
        <v>#N/A</v>
      </c>
      <c r="AR120" s="204" t="e">
        <v>#N/A</v>
      </c>
    </row>
    <row r="121" spans="2:44" s="150" customFormat="1" outlineLevel="1">
      <c r="B121" s="156" t="s">
        <v>9</v>
      </c>
      <c r="C121" s="185" t="s">
        <v>143</v>
      </c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86"/>
      <c r="AI121" s="167"/>
      <c r="AJ121" s="167"/>
      <c r="AK121" s="167"/>
      <c r="AL121" s="167"/>
      <c r="AM121" s="167"/>
      <c r="AN121" s="199">
        <f>IF(AN$37&gt;0,(AN$37-AN133)*1000,0)</f>
        <v>0</v>
      </c>
      <c r="AO121" s="172">
        <f>-$AN121/4</f>
        <v>0</v>
      </c>
      <c r="AP121" s="172">
        <f t="shared" si="25"/>
        <v>0</v>
      </c>
      <c r="AQ121" s="172">
        <f t="shared" si="25"/>
        <v>0</v>
      </c>
      <c r="AR121" s="172">
        <f t="shared" si="25"/>
        <v>0</v>
      </c>
    </row>
    <row r="122" spans="2:44" s="150" customFormat="1" outlineLevel="1">
      <c r="B122" s="180" t="s">
        <v>10</v>
      </c>
      <c r="C122" s="183" t="s">
        <v>143</v>
      </c>
      <c r="D122" s="168"/>
      <c r="E122" s="168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  <c r="AF122" s="168"/>
      <c r="AG122" s="168"/>
      <c r="AH122" s="184"/>
      <c r="AI122" s="168"/>
      <c r="AJ122" s="168"/>
      <c r="AK122" s="168"/>
      <c r="AL122" s="168"/>
      <c r="AM122" s="168"/>
      <c r="AN122" s="199">
        <f>IF(AN$38&gt;0,(AN$38-AN134)*1000,0)</f>
        <v>0</v>
      </c>
      <c r="AO122" s="171">
        <f>-$AN122/4</f>
        <v>0</v>
      </c>
      <c r="AP122" s="171">
        <f t="shared" si="25"/>
        <v>0</v>
      </c>
      <c r="AQ122" s="171">
        <f t="shared" si="25"/>
        <v>0</v>
      </c>
      <c r="AR122" s="171">
        <f t="shared" si="25"/>
        <v>0</v>
      </c>
    </row>
    <row r="123" spans="2:44" s="150" customFormat="1" outlineLevel="1">
      <c r="B123" s="156" t="s">
        <v>14</v>
      </c>
      <c r="C123" s="185" t="s">
        <v>143</v>
      </c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173"/>
      <c r="AF123" s="173"/>
      <c r="AG123" s="173"/>
      <c r="AH123" s="186"/>
      <c r="AI123" s="173"/>
      <c r="AJ123" s="173"/>
      <c r="AK123" s="173"/>
      <c r="AL123" s="173"/>
      <c r="AM123" s="173"/>
      <c r="AN123" s="199">
        <f>IF(AN$39&gt;0,(AN$39-AN135)*1000,0)</f>
        <v>0</v>
      </c>
      <c r="AO123" s="172">
        <f t="shared" ref="AO123:AO125" si="27">-$AN123/4</f>
        <v>0</v>
      </c>
      <c r="AP123" s="172">
        <f t="shared" si="25"/>
        <v>0</v>
      </c>
      <c r="AQ123" s="172">
        <f t="shared" si="25"/>
        <v>0</v>
      </c>
      <c r="AR123" s="172">
        <f t="shared" si="25"/>
        <v>0</v>
      </c>
    </row>
    <row r="124" spans="2:44" s="150" customFormat="1" outlineLevel="1">
      <c r="B124" s="157" t="s">
        <v>15</v>
      </c>
      <c r="C124" s="183" t="s">
        <v>143</v>
      </c>
      <c r="D124" s="168"/>
      <c r="E124" s="168"/>
      <c r="F124" s="168"/>
      <c r="G124" s="168"/>
      <c r="H124" s="168"/>
      <c r="I124" s="168"/>
      <c r="J124" s="168"/>
      <c r="K124" s="168"/>
      <c r="L124" s="168"/>
      <c r="M124" s="168"/>
      <c r="N124" s="168"/>
      <c r="O124" s="168"/>
      <c r="P124" s="168"/>
      <c r="Q124" s="168"/>
      <c r="R124" s="168"/>
      <c r="S124" s="168"/>
      <c r="T124" s="168"/>
      <c r="U124" s="168"/>
      <c r="V124" s="168"/>
      <c r="W124" s="168"/>
      <c r="X124" s="168"/>
      <c r="Y124" s="168"/>
      <c r="Z124" s="168"/>
      <c r="AA124" s="168"/>
      <c r="AB124" s="168"/>
      <c r="AC124" s="168"/>
      <c r="AD124" s="168"/>
      <c r="AE124" s="168"/>
      <c r="AF124" s="168"/>
      <c r="AG124" s="168"/>
      <c r="AH124" s="184"/>
      <c r="AI124" s="168"/>
      <c r="AJ124" s="168"/>
      <c r="AK124" s="168"/>
      <c r="AL124" s="168"/>
      <c r="AM124" s="168"/>
      <c r="AN124" s="199">
        <f>IF(AN$40&gt;0,(AN$40-AN136)*1000,0)</f>
        <v>0</v>
      </c>
      <c r="AO124" s="171">
        <f t="shared" si="27"/>
        <v>0</v>
      </c>
      <c r="AP124" s="171">
        <f t="shared" si="25"/>
        <v>0</v>
      </c>
      <c r="AQ124" s="171">
        <f t="shared" si="25"/>
        <v>0</v>
      </c>
      <c r="AR124" s="171">
        <f t="shared" si="25"/>
        <v>0</v>
      </c>
    </row>
    <row r="125" spans="2:44" s="150" customFormat="1" outlineLevel="1">
      <c r="B125" s="156" t="s">
        <v>16</v>
      </c>
      <c r="C125" s="185" t="s">
        <v>143</v>
      </c>
      <c r="D125" s="167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86"/>
      <c r="AI125" s="167"/>
      <c r="AJ125" s="167"/>
      <c r="AK125" s="167"/>
      <c r="AL125" s="167"/>
      <c r="AM125" s="167"/>
      <c r="AN125" s="199">
        <f>IF(AN$41&gt;0,(AN$41-AN137)*1000,0)</f>
        <v>0</v>
      </c>
      <c r="AO125" s="172">
        <f t="shared" si="27"/>
        <v>0</v>
      </c>
      <c r="AP125" s="172">
        <f t="shared" si="25"/>
        <v>0</v>
      </c>
      <c r="AQ125" s="172">
        <f t="shared" si="25"/>
        <v>0</v>
      </c>
      <c r="AR125" s="172">
        <f t="shared" si="25"/>
        <v>0</v>
      </c>
    </row>
    <row r="126" spans="2:44" s="150" customFormat="1" outlineLevel="1">
      <c r="B126" s="157" t="s">
        <v>75</v>
      </c>
      <c r="C126" s="183" t="s">
        <v>143</v>
      </c>
      <c r="D126" s="168"/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  <c r="X126" s="168"/>
      <c r="Y126" s="168"/>
      <c r="Z126" s="168"/>
      <c r="AA126" s="168"/>
      <c r="AB126" s="168"/>
      <c r="AC126" s="168"/>
      <c r="AD126" s="168"/>
      <c r="AE126" s="168"/>
      <c r="AF126" s="168"/>
      <c r="AG126" s="168"/>
      <c r="AH126" s="168"/>
      <c r="AI126" s="168"/>
      <c r="AJ126" s="168"/>
      <c r="AK126" s="168"/>
      <c r="AL126" s="168"/>
      <c r="AM126" s="168"/>
      <c r="AN126" s="181"/>
      <c r="AO126" s="168"/>
      <c r="AP126" s="168"/>
      <c r="AQ126" s="168"/>
      <c r="AR126" s="168"/>
    </row>
    <row r="127" spans="2:44" s="150" customFormat="1" ht="15.75" outlineLevel="1" thickBot="1">
      <c r="B127" s="156" t="s">
        <v>8</v>
      </c>
      <c r="C127" s="160" t="s">
        <v>297</v>
      </c>
      <c r="D127" s="167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200">
        <f>IF(AN$36&gt;0,(AN$36-AN139)*1000,0)</f>
        <v>0</v>
      </c>
      <c r="AO127" s="172">
        <f>-$AN127/4</f>
        <v>0</v>
      </c>
      <c r="AP127" s="172">
        <f t="shared" si="25"/>
        <v>0</v>
      </c>
      <c r="AQ127" s="172">
        <f t="shared" si="25"/>
        <v>0</v>
      </c>
      <c r="AR127" s="172">
        <f t="shared" si="25"/>
        <v>0</v>
      </c>
    </row>
    <row r="128" spans="2:44" s="150" customFormat="1" outlineLevel="1">
      <c r="B128" s="152"/>
      <c r="C128" s="163"/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66"/>
      <c r="W128" s="166"/>
      <c r="X128" s="166"/>
      <c r="Y128" s="166"/>
      <c r="Z128" s="166"/>
      <c r="AA128" s="166"/>
      <c r="AB128" s="166"/>
      <c r="AC128" s="166"/>
      <c r="AD128" s="166"/>
      <c r="AE128" s="166"/>
      <c r="AF128" s="166"/>
      <c r="AG128" s="166"/>
      <c r="AH128" s="166"/>
      <c r="AI128" s="166"/>
      <c r="AJ128" s="205"/>
      <c r="AK128" s="166"/>
      <c r="AL128" s="205"/>
      <c r="AM128" s="205" t="s">
        <v>103</v>
      </c>
      <c r="AN128" s="205" t="s">
        <v>103</v>
      </c>
      <c r="AO128" s="205" t="s">
        <v>103</v>
      </c>
      <c r="AP128" s="205" t="s">
        <v>103</v>
      </c>
      <c r="AQ128" s="205" t="s">
        <v>103</v>
      </c>
      <c r="AR128" s="205" t="s">
        <v>103</v>
      </c>
    </row>
    <row r="129" spans="2:44" s="150" customFormat="1" outlineLevel="1">
      <c r="B129" s="174" t="s">
        <v>266</v>
      </c>
      <c r="C129" s="163"/>
      <c r="D129" s="166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92"/>
      <c r="AJ129" s="196"/>
      <c r="AK129" s="166"/>
      <c r="AL129" s="166"/>
      <c r="AM129" s="166"/>
      <c r="AN129" s="166"/>
      <c r="AO129" s="166"/>
      <c r="AP129" s="166"/>
      <c r="AQ129" s="166"/>
      <c r="AR129" s="166"/>
    </row>
    <row r="130" spans="2:44" s="150" customFormat="1" outlineLevel="1">
      <c r="B130" s="151" t="s">
        <v>69</v>
      </c>
      <c r="C130" s="158"/>
      <c r="D130" s="155">
        <v>32874</v>
      </c>
      <c r="E130" s="155">
        <v>33239</v>
      </c>
      <c r="F130" s="155">
        <v>33604</v>
      </c>
      <c r="G130" s="155">
        <v>33970</v>
      </c>
      <c r="H130" s="155">
        <v>34335</v>
      </c>
      <c r="I130" s="155">
        <v>34700</v>
      </c>
      <c r="J130" s="155">
        <v>35065</v>
      </c>
      <c r="K130" s="155">
        <v>35431</v>
      </c>
      <c r="L130" s="155">
        <v>35796</v>
      </c>
      <c r="M130" s="155">
        <v>36161</v>
      </c>
      <c r="N130" s="155">
        <v>36526</v>
      </c>
      <c r="O130" s="155">
        <v>36892</v>
      </c>
      <c r="P130" s="155">
        <v>37257</v>
      </c>
      <c r="Q130" s="155">
        <v>37622</v>
      </c>
      <c r="R130" s="155">
        <v>37987</v>
      </c>
      <c r="S130" s="155">
        <v>38353</v>
      </c>
      <c r="T130" s="155">
        <v>38718</v>
      </c>
      <c r="U130" s="155">
        <v>39083</v>
      </c>
      <c r="V130" s="155">
        <v>39448</v>
      </c>
      <c r="W130" s="155">
        <v>39814</v>
      </c>
      <c r="X130" s="155">
        <v>40179</v>
      </c>
      <c r="Y130" s="155">
        <v>40544</v>
      </c>
      <c r="Z130" s="155">
        <v>40909</v>
      </c>
      <c r="AA130" s="155">
        <v>41275</v>
      </c>
      <c r="AB130" s="155">
        <v>41640</v>
      </c>
      <c r="AC130" s="155">
        <v>42005</v>
      </c>
      <c r="AD130" s="155">
        <v>42370</v>
      </c>
      <c r="AE130" s="155">
        <v>42736</v>
      </c>
      <c r="AF130" s="155">
        <v>43101</v>
      </c>
      <c r="AG130" s="155">
        <v>43466</v>
      </c>
      <c r="AH130" s="208">
        <v>43831</v>
      </c>
      <c r="AI130" s="155">
        <v>44197</v>
      </c>
      <c r="AJ130" s="208">
        <v>44562</v>
      </c>
      <c r="AK130" s="155">
        <v>44927</v>
      </c>
      <c r="AL130" s="155">
        <v>45292</v>
      </c>
      <c r="AM130" s="155">
        <v>45658</v>
      </c>
      <c r="AN130" s="155">
        <v>46023</v>
      </c>
      <c r="AO130" s="155">
        <v>46388</v>
      </c>
      <c r="AP130" s="155">
        <v>46753</v>
      </c>
      <c r="AQ130" s="155">
        <v>47119</v>
      </c>
      <c r="AR130" s="155">
        <v>47484</v>
      </c>
    </row>
    <row r="131" spans="2:44" s="150" customFormat="1" outlineLevel="1">
      <c r="B131" s="156" t="s">
        <v>278</v>
      </c>
      <c r="C131" s="185" t="s">
        <v>291</v>
      </c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94"/>
      <c r="AI131" s="167"/>
      <c r="AJ131" s="178"/>
      <c r="AK131" s="194"/>
      <c r="AL131" s="167"/>
      <c r="AM131" s="178"/>
      <c r="AN131" s="178">
        <f t="shared" ref="AN131:AR137" si="28">AN155+AN143/1000</f>
        <v>622.76633426690921</v>
      </c>
      <c r="AO131" s="178">
        <f t="shared" si="28"/>
        <v>583.76633426690921</v>
      </c>
      <c r="AP131" s="178">
        <f t="shared" si="28"/>
        <v>541.76633426690921</v>
      </c>
      <c r="AQ131" s="178">
        <f t="shared" si="28"/>
        <v>500.76633426690915</v>
      </c>
      <c r="AR131" s="178">
        <f t="shared" si="28"/>
        <v>456.76633426690915</v>
      </c>
    </row>
    <row r="132" spans="2:44" s="150" customFormat="1" outlineLevel="1">
      <c r="B132" s="157" t="s">
        <v>8</v>
      </c>
      <c r="C132" s="183" t="s">
        <v>284</v>
      </c>
      <c r="D132" s="168"/>
      <c r="E132" s="168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  <c r="AH132" s="193"/>
      <c r="AI132" s="168"/>
      <c r="AJ132" s="176"/>
      <c r="AK132" s="193"/>
      <c r="AL132" s="168"/>
      <c r="AM132" s="176"/>
      <c r="AN132" s="171" t="e">
        <f t="shared" si="28"/>
        <v>#N/A</v>
      </c>
      <c r="AO132" s="171" t="e">
        <f t="shared" si="28"/>
        <v>#N/A</v>
      </c>
      <c r="AP132" s="171" t="e">
        <f t="shared" si="28"/>
        <v>#N/A</v>
      </c>
      <c r="AQ132" s="171" t="e">
        <f t="shared" si="28"/>
        <v>#N/A</v>
      </c>
      <c r="AR132" s="171" t="e">
        <f t="shared" si="28"/>
        <v>#N/A</v>
      </c>
    </row>
    <row r="133" spans="2:44" s="150" customFormat="1" outlineLevel="1">
      <c r="B133" s="156" t="s">
        <v>9</v>
      </c>
      <c r="C133" s="185" t="s">
        <v>284</v>
      </c>
      <c r="D133" s="167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94"/>
      <c r="AI133" s="167"/>
      <c r="AJ133" s="178"/>
      <c r="AK133" s="194"/>
      <c r="AL133" s="167"/>
      <c r="AM133" s="178"/>
      <c r="AN133" s="178">
        <f t="shared" si="28"/>
        <v>155.49204001506132</v>
      </c>
      <c r="AO133" s="178">
        <f t="shared" si="28"/>
        <v>146.49204001506132</v>
      </c>
      <c r="AP133" s="178">
        <f t="shared" si="28"/>
        <v>138.49204001506132</v>
      </c>
      <c r="AQ133" s="178">
        <f t="shared" si="28"/>
        <v>131.49204001506129</v>
      </c>
      <c r="AR133" s="178">
        <f t="shared" si="28"/>
        <v>124.49204001506129</v>
      </c>
    </row>
    <row r="134" spans="2:44" s="150" customFormat="1" outlineLevel="1">
      <c r="B134" s="180" t="s">
        <v>10</v>
      </c>
      <c r="C134" s="183" t="s">
        <v>284</v>
      </c>
      <c r="D134" s="168"/>
      <c r="E134" s="168"/>
      <c r="F134" s="168"/>
      <c r="G134" s="168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/>
      <c r="T134" s="168"/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8"/>
      <c r="AG134" s="168"/>
      <c r="AH134" s="193"/>
      <c r="AI134" s="168"/>
      <c r="AJ134" s="176"/>
      <c r="AK134" s="193"/>
      <c r="AL134" s="168"/>
      <c r="AM134" s="176"/>
      <c r="AN134" s="176">
        <f t="shared" si="28"/>
        <v>84.993523317110458</v>
      </c>
      <c r="AO134" s="176">
        <f t="shared" si="28"/>
        <v>79.993523317110458</v>
      </c>
      <c r="AP134" s="176">
        <f t="shared" si="28"/>
        <v>74.993523317110458</v>
      </c>
      <c r="AQ134" s="176">
        <f t="shared" si="28"/>
        <v>69.993523317110458</v>
      </c>
      <c r="AR134" s="176">
        <f t="shared" si="28"/>
        <v>64.993523317110458</v>
      </c>
    </row>
    <row r="135" spans="2:44" s="150" customFormat="1" outlineLevel="1">
      <c r="B135" s="156" t="s">
        <v>14</v>
      </c>
      <c r="C135" s="185" t="s">
        <v>284</v>
      </c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94"/>
      <c r="AI135" s="173"/>
      <c r="AJ135" s="178"/>
      <c r="AK135" s="194"/>
      <c r="AL135" s="173"/>
      <c r="AM135" s="178"/>
      <c r="AN135" s="178">
        <f t="shared" si="28"/>
        <v>110.95743113476038</v>
      </c>
      <c r="AO135" s="178">
        <f t="shared" si="28"/>
        <v>105.95743113476038</v>
      </c>
      <c r="AP135" s="178">
        <f t="shared" si="28"/>
        <v>98.957431134760384</v>
      </c>
      <c r="AQ135" s="178">
        <f t="shared" si="28"/>
        <v>89.957431134760384</v>
      </c>
      <c r="AR135" s="178">
        <f t="shared" si="28"/>
        <v>78.957431134760384</v>
      </c>
    </row>
    <row r="136" spans="2:44" s="150" customFormat="1" outlineLevel="1">
      <c r="B136" s="157" t="s">
        <v>15</v>
      </c>
      <c r="C136" s="183" t="s">
        <v>284</v>
      </c>
      <c r="D136" s="168"/>
      <c r="E136" s="168"/>
      <c r="F136" s="168"/>
      <c r="G136" s="168"/>
      <c r="H136" s="168"/>
      <c r="I136" s="168"/>
      <c r="J136" s="168"/>
      <c r="K136" s="168"/>
      <c r="L136" s="168"/>
      <c r="M136" s="168"/>
      <c r="N136" s="168"/>
      <c r="O136" s="168"/>
      <c r="P136" s="168"/>
      <c r="Q136" s="168"/>
      <c r="R136" s="168"/>
      <c r="S136" s="168"/>
      <c r="T136" s="168"/>
      <c r="U136" s="168"/>
      <c r="V136" s="168"/>
      <c r="W136" s="168"/>
      <c r="X136" s="168"/>
      <c r="Y136" s="168"/>
      <c r="Z136" s="168"/>
      <c r="AA136" s="168"/>
      <c r="AB136" s="168"/>
      <c r="AC136" s="168"/>
      <c r="AD136" s="168"/>
      <c r="AE136" s="168"/>
      <c r="AF136" s="168"/>
      <c r="AG136" s="168"/>
      <c r="AH136" s="193"/>
      <c r="AI136" s="168"/>
      <c r="AJ136" s="176"/>
      <c r="AK136" s="193"/>
      <c r="AL136" s="168"/>
      <c r="AM136" s="176"/>
      <c r="AN136" s="176">
        <f t="shared" si="28"/>
        <v>64.804760460583651</v>
      </c>
      <c r="AO136" s="176">
        <f t="shared" si="28"/>
        <v>63.804760460583658</v>
      </c>
      <c r="AP136" s="176">
        <f t="shared" si="28"/>
        <v>61.804760460583658</v>
      </c>
      <c r="AQ136" s="176">
        <f t="shared" si="28"/>
        <v>59.804760460583658</v>
      </c>
      <c r="AR136" s="176">
        <f t="shared" si="28"/>
        <v>58.804760460583658</v>
      </c>
    </row>
    <row r="137" spans="2:44" s="150" customFormat="1" outlineLevel="1">
      <c r="B137" s="156" t="s">
        <v>16</v>
      </c>
      <c r="C137" s="185" t="s">
        <v>284</v>
      </c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94"/>
      <c r="AI137" s="167"/>
      <c r="AJ137" s="178"/>
      <c r="AK137" s="194"/>
      <c r="AL137" s="167"/>
      <c r="AM137" s="178"/>
      <c r="AN137" s="178">
        <f t="shared" si="28"/>
        <v>7.8333359954203834</v>
      </c>
      <c r="AO137" s="178">
        <f t="shared" si="28"/>
        <v>7.8333359954203834</v>
      </c>
      <c r="AP137" s="178">
        <f t="shared" si="28"/>
        <v>6.8333359954203834</v>
      </c>
      <c r="AQ137" s="178">
        <f t="shared" si="28"/>
        <v>6.8333359954203834</v>
      </c>
      <c r="AR137" s="178">
        <f t="shared" si="28"/>
        <v>5.8333359954203834</v>
      </c>
    </row>
    <row r="138" spans="2:44" s="150" customFormat="1" outlineLevel="1">
      <c r="B138" s="157" t="s">
        <v>75</v>
      </c>
      <c r="C138" s="183" t="s">
        <v>284</v>
      </c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68"/>
      <c r="U138" s="168"/>
      <c r="V138" s="168"/>
      <c r="W138" s="168"/>
      <c r="X138" s="168"/>
      <c r="Y138" s="168"/>
      <c r="Z138" s="168"/>
      <c r="AA138" s="168"/>
      <c r="AB138" s="168"/>
      <c r="AC138" s="168"/>
      <c r="AD138" s="168"/>
      <c r="AE138" s="168"/>
      <c r="AF138" s="168"/>
      <c r="AG138" s="168"/>
      <c r="AH138" s="182"/>
      <c r="AI138" s="168"/>
      <c r="AJ138" s="182"/>
      <c r="AK138" s="182"/>
      <c r="AL138" s="168"/>
      <c r="AM138" s="182"/>
      <c r="AN138" s="168"/>
      <c r="AO138" s="168"/>
      <c r="AP138" s="168"/>
      <c r="AQ138" s="168"/>
      <c r="AR138" s="168"/>
    </row>
    <row r="139" spans="2:44" s="150" customFormat="1" outlineLevel="1">
      <c r="B139" s="156" t="s">
        <v>8</v>
      </c>
      <c r="C139" s="160" t="s">
        <v>297</v>
      </c>
      <c r="D139" s="167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95"/>
      <c r="AI139" s="167"/>
      <c r="AJ139" s="195"/>
      <c r="AK139" s="167"/>
      <c r="AL139" s="167"/>
      <c r="AM139" s="167"/>
      <c r="AN139" s="178">
        <f>AN163+AN151/1000</f>
        <v>198.12274334397299</v>
      </c>
      <c r="AO139" s="178">
        <f>AO163+AO151/1000</f>
        <v>179.49774334397299</v>
      </c>
      <c r="AP139" s="178">
        <f>AP163+AP151/1000</f>
        <v>160.87274334397299</v>
      </c>
      <c r="AQ139" s="178">
        <f>AQ163+AQ151/1000</f>
        <v>142.24774334397299</v>
      </c>
      <c r="AR139" s="178">
        <f>AR163+AR151/1000</f>
        <v>123.62274334397297</v>
      </c>
    </row>
    <row r="140" spans="2:44" s="150" customFormat="1" ht="29.25" customHeight="1" outlineLevel="1" thickBot="1">
      <c r="B140" s="154"/>
      <c r="C140" s="161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209"/>
      <c r="AI140" s="210"/>
      <c r="AJ140" s="206"/>
      <c r="AK140" s="207"/>
      <c r="AL140" s="207"/>
      <c r="AM140" s="206" t="s">
        <v>103</v>
      </c>
      <c r="AN140" s="206" t="s">
        <v>103</v>
      </c>
      <c r="AO140" s="206" t="s">
        <v>103</v>
      </c>
      <c r="AP140" s="206" t="s">
        <v>103</v>
      </c>
      <c r="AQ140" s="206" t="s">
        <v>103</v>
      </c>
      <c r="AR140" s="206" t="s">
        <v>103</v>
      </c>
    </row>
    <row r="141" spans="2:44" s="150" customFormat="1" outlineLevel="1">
      <c r="B141" s="174" t="s">
        <v>267</v>
      </c>
      <c r="C141" s="163"/>
      <c r="D141" s="166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  <c r="W141" s="166"/>
      <c r="X141" s="166"/>
      <c r="Y141" s="166"/>
      <c r="Z141" s="166"/>
      <c r="AA141" s="166"/>
      <c r="AB141" s="166"/>
      <c r="AC141" s="166"/>
      <c r="AD141" s="166"/>
      <c r="AE141" s="166"/>
      <c r="AF141" s="166"/>
      <c r="AG141" s="166"/>
      <c r="AH141" s="166"/>
      <c r="AI141" s="166"/>
      <c r="AJ141" s="166"/>
      <c r="AK141" s="166"/>
      <c r="AL141" s="166"/>
      <c r="AM141" s="216" t="s">
        <v>41</v>
      </c>
      <c r="AN141" s="217" t="s">
        <v>259</v>
      </c>
      <c r="AO141" s="166"/>
      <c r="AP141" s="166"/>
      <c r="AQ141" s="166"/>
      <c r="AR141" s="166"/>
    </row>
    <row r="142" spans="2:44" s="150" customFormat="1" outlineLevel="1">
      <c r="B142" s="151" t="s">
        <v>69</v>
      </c>
      <c r="C142" s="158"/>
      <c r="D142" s="155">
        <v>32874</v>
      </c>
      <c r="E142" s="155">
        <v>33239</v>
      </c>
      <c r="F142" s="155">
        <v>33604</v>
      </c>
      <c r="G142" s="155">
        <v>33970</v>
      </c>
      <c r="H142" s="155">
        <v>34335</v>
      </c>
      <c r="I142" s="155">
        <v>34700</v>
      </c>
      <c r="J142" s="155">
        <v>35065</v>
      </c>
      <c r="K142" s="155">
        <v>35431</v>
      </c>
      <c r="L142" s="155">
        <v>35796</v>
      </c>
      <c r="M142" s="155">
        <v>36161</v>
      </c>
      <c r="N142" s="155">
        <v>36526</v>
      </c>
      <c r="O142" s="155">
        <v>36892</v>
      </c>
      <c r="P142" s="155">
        <v>37257</v>
      </c>
      <c r="Q142" s="155">
        <v>37622</v>
      </c>
      <c r="R142" s="155">
        <v>37987</v>
      </c>
      <c r="S142" s="155">
        <v>38353</v>
      </c>
      <c r="T142" s="155">
        <v>38718</v>
      </c>
      <c r="U142" s="155">
        <v>39083</v>
      </c>
      <c r="V142" s="155">
        <v>39448</v>
      </c>
      <c r="W142" s="155">
        <v>39814</v>
      </c>
      <c r="X142" s="155">
        <v>40179</v>
      </c>
      <c r="Y142" s="155">
        <v>40544</v>
      </c>
      <c r="Z142" s="155">
        <v>40909</v>
      </c>
      <c r="AA142" s="155">
        <v>41275</v>
      </c>
      <c r="AB142" s="155">
        <v>41640</v>
      </c>
      <c r="AC142" s="155">
        <v>42005</v>
      </c>
      <c r="AD142" s="155">
        <v>42370</v>
      </c>
      <c r="AE142" s="155">
        <v>42736</v>
      </c>
      <c r="AF142" s="155">
        <v>43101</v>
      </c>
      <c r="AG142" s="155">
        <v>43466</v>
      </c>
      <c r="AH142" s="155">
        <v>43831</v>
      </c>
      <c r="AI142" s="155">
        <v>44197</v>
      </c>
      <c r="AJ142" s="155">
        <v>44562</v>
      </c>
      <c r="AK142" s="155">
        <v>44927</v>
      </c>
      <c r="AL142" s="155">
        <v>45292</v>
      </c>
      <c r="AM142" s="175">
        <v>45658</v>
      </c>
      <c r="AN142" s="155">
        <v>46023</v>
      </c>
      <c r="AO142" s="155">
        <v>46388</v>
      </c>
      <c r="AP142" s="155">
        <v>46753</v>
      </c>
      <c r="AQ142" s="155">
        <v>47119</v>
      </c>
      <c r="AR142" s="155">
        <v>47484</v>
      </c>
    </row>
    <row r="143" spans="2:44" s="150" customFormat="1" outlineLevel="1">
      <c r="B143" s="156" t="s">
        <v>278</v>
      </c>
      <c r="C143" s="185" t="s">
        <v>143</v>
      </c>
      <c r="D143" s="167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86"/>
      <c r="AI143" s="167"/>
      <c r="AJ143" s="167"/>
      <c r="AK143" s="167"/>
      <c r="AL143" s="167"/>
      <c r="AM143" s="199">
        <f>IF(AM$35&gt;0,(AM$35-AM155)*1000,0)</f>
        <v>0</v>
      </c>
      <c r="AN143" s="172">
        <f>-$AM143/5</f>
        <v>0</v>
      </c>
      <c r="AO143" s="172">
        <f t="shared" ref="AO143:AR151" si="29">-$AM143/5</f>
        <v>0</v>
      </c>
      <c r="AP143" s="172">
        <f t="shared" si="29"/>
        <v>0</v>
      </c>
      <c r="AQ143" s="172">
        <f t="shared" si="29"/>
        <v>0</v>
      </c>
      <c r="AR143" s="172">
        <f t="shared" si="29"/>
        <v>0</v>
      </c>
    </row>
    <row r="144" spans="2:44" s="150" customFormat="1" outlineLevel="1">
      <c r="B144" s="157" t="s">
        <v>8</v>
      </c>
      <c r="C144" s="183" t="s">
        <v>143</v>
      </c>
      <c r="D144" s="168"/>
      <c r="E144" s="168"/>
      <c r="F144" s="168"/>
      <c r="G144" s="168"/>
      <c r="H144" s="168"/>
      <c r="I144" s="168"/>
      <c r="J144" s="168"/>
      <c r="K144" s="168"/>
      <c r="L144" s="168"/>
      <c r="M144" s="168"/>
      <c r="N144" s="168"/>
      <c r="O144" s="168"/>
      <c r="P144" s="168"/>
      <c r="Q144" s="168"/>
      <c r="R144" s="168"/>
      <c r="S144" s="168"/>
      <c r="T144" s="168"/>
      <c r="U144" s="168"/>
      <c r="V144" s="168"/>
      <c r="W144" s="168"/>
      <c r="X144" s="168"/>
      <c r="Y144" s="168"/>
      <c r="Z144" s="168"/>
      <c r="AA144" s="168"/>
      <c r="AB144" s="168"/>
      <c r="AC144" s="168"/>
      <c r="AD144" s="168"/>
      <c r="AE144" s="168"/>
      <c r="AF144" s="168"/>
      <c r="AG144" s="168"/>
      <c r="AH144" s="184"/>
      <c r="AI144" s="168"/>
      <c r="AJ144" s="168"/>
      <c r="AK144" s="168"/>
      <c r="AL144" s="168"/>
      <c r="AM144" s="199" t="e">
        <f t="shared" ref="AM144" si="30">(AM36-AM156)*1000</f>
        <v>#N/A</v>
      </c>
      <c r="AN144" s="204" t="e">
        <v>#N/A</v>
      </c>
      <c r="AO144" s="204" t="e">
        <v>#N/A</v>
      </c>
      <c r="AP144" s="204" t="e">
        <v>#N/A</v>
      </c>
      <c r="AQ144" s="204" t="e">
        <v>#N/A</v>
      </c>
      <c r="AR144" s="168" t="e">
        <f t="shared" si="29"/>
        <v>#N/A</v>
      </c>
    </row>
    <row r="145" spans="2:44" s="150" customFormat="1" outlineLevel="1">
      <c r="B145" s="156" t="s">
        <v>9</v>
      </c>
      <c r="C145" s="185" t="s">
        <v>143</v>
      </c>
      <c r="D145" s="167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86"/>
      <c r="AI145" s="167"/>
      <c r="AJ145" s="167"/>
      <c r="AK145" s="167"/>
      <c r="AL145" s="167"/>
      <c r="AM145" s="199">
        <f>IF(AM$37&gt;0,(AM$37-AM157)*1000,0)</f>
        <v>0</v>
      </c>
      <c r="AN145" s="172">
        <f>-$AM145/5</f>
        <v>0</v>
      </c>
      <c r="AO145" s="172">
        <f t="shared" si="29"/>
        <v>0</v>
      </c>
      <c r="AP145" s="172">
        <f t="shared" si="29"/>
        <v>0</v>
      </c>
      <c r="AQ145" s="172">
        <f t="shared" si="29"/>
        <v>0</v>
      </c>
      <c r="AR145" s="172">
        <f t="shared" si="29"/>
        <v>0</v>
      </c>
    </row>
    <row r="146" spans="2:44" s="150" customFormat="1" outlineLevel="1">
      <c r="B146" s="180" t="s">
        <v>10</v>
      </c>
      <c r="C146" s="183" t="s">
        <v>143</v>
      </c>
      <c r="D146" s="168"/>
      <c r="E146" s="168"/>
      <c r="F146" s="168"/>
      <c r="G146" s="168"/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68"/>
      <c r="S146" s="168"/>
      <c r="T146" s="168"/>
      <c r="U146" s="168"/>
      <c r="V146" s="168"/>
      <c r="W146" s="168"/>
      <c r="X146" s="168"/>
      <c r="Y146" s="168"/>
      <c r="Z146" s="168"/>
      <c r="AA146" s="168"/>
      <c r="AB146" s="168"/>
      <c r="AC146" s="168"/>
      <c r="AD146" s="168"/>
      <c r="AE146" s="168"/>
      <c r="AF146" s="168"/>
      <c r="AG146" s="168"/>
      <c r="AH146" s="184"/>
      <c r="AI146" s="168"/>
      <c r="AJ146" s="168"/>
      <c r="AK146" s="168"/>
      <c r="AL146" s="168"/>
      <c r="AM146" s="199">
        <f>IF(AM$38&gt;0,(AM$38-AM158)*1000,0)</f>
        <v>0</v>
      </c>
      <c r="AN146" s="171">
        <f t="shared" ref="AN146:AN149" si="31">-$AM146/5</f>
        <v>0</v>
      </c>
      <c r="AO146" s="171">
        <f t="shared" si="29"/>
        <v>0</v>
      </c>
      <c r="AP146" s="171">
        <f t="shared" si="29"/>
        <v>0</v>
      </c>
      <c r="AQ146" s="171">
        <f t="shared" si="29"/>
        <v>0</v>
      </c>
      <c r="AR146" s="171">
        <f t="shared" si="29"/>
        <v>0</v>
      </c>
    </row>
    <row r="147" spans="2:44" s="150" customFormat="1" outlineLevel="1">
      <c r="B147" s="156" t="s">
        <v>14</v>
      </c>
      <c r="C147" s="185" t="s">
        <v>143</v>
      </c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  <c r="R147" s="173"/>
      <c r="S147" s="173"/>
      <c r="T147" s="173"/>
      <c r="U147" s="173"/>
      <c r="V147" s="173"/>
      <c r="W147" s="173"/>
      <c r="X147" s="173"/>
      <c r="Y147" s="173"/>
      <c r="Z147" s="173"/>
      <c r="AA147" s="173"/>
      <c r="AB147" s="173"/>
      <c r="AC147" s="173"/>
      <c r="AD147" s="173"/>
      <c r="AE147" s="173"/>
      <c r="AF147" s="173"/>
      <c r="AG147" s="173"/>
      <c r="AH147" s="186"/>
      <c r="AI147" s="173"/>
      <c r="AJ147" s="173"/>
      <c r="AK147" s="173"/>
      <c r="AL147" s="173"/>
      <c r="AM147" s="199">
        <f>IF(AM$39&gt;0,(AM$39-AM159)*1000,0)</f>
        <v>0</v>
      </c>
      <c r="AN147" s="172">
        <f t="shared" si="31"/>
        <v>0</v>
      </c>
      <c r="AO147" s="172">
        <f t="shared" si="29"/>
        <v>0</v>
      </c>
      <c r="AP147" s="172">
        <f t="shared" si="29"/>
        <v>0</v>
      </c>
      <c r="AQ147" s="172">
        <f t="shared" si="29"/>
        <v>0</v>
      </c>
      <c r="AR147" s="172">
        <f t="shared" si="29"/>
        <v>0</v>
      </c>
    </row>
    <row r="148" spans="2:44" s="150" customFormat="1" outlineLevel="1">
      <c r="B148" s="157" t="s">
        <v>15</v>
      </c>
      <c r="C148" s="183" t="s">
        <v>143</v>
      </c>
      <c r="D148" s="168"/>
      <c r="E148" s="168"/>
      <c r="F148" s="168"/>
      <c r="G148" s="168"/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S148" s="168"/>
      <c r="T148" s="168"/>
      <c r="U148" s="168"/>
      <c r="V148" s="168"/>
      <c r="W148" s="168"/>
      <c r="X148" s="168"/>
      <c r="Y148" s="168"/>
      <c r="Z148" s="168"/>
      <c r="AA148" s="168"/>
      <c r="AB148" s="168"/>
      <c r="AC148" s="168"/>
      <c r="AD148" s="168"/>
      <c r="AE148" s="168"/>
      <c r="AF148" s="168"/>
      <c r="AG148" s="168"/>
      <c r="AH148" s="184"/>
      <c r="AI148" s="168"/>
      <c r="AJ148" s="168"/>
      <c r="AK148" s="168"/>
      <c r="AL148" s="168"/>
      <c r="AM148" s="199">
        <f>IF(AM$40&gt;0,(AM$40-AM160)*1000,0)</f>
        <v>0</v>
      </c>
      <c r="AN148" s="171">
        <f t="shared" si="31"/>
        <v>0</v>
      </c>
      <c r="AO148" s="171">
        <f t="shared" si="29"/>
        <v>0</v>
      </c>
      <c r="AP148" s="171">
        <f t="shared" si="29"/>
        <v>0</v>
      </c>
      <c r="AQ148" s="171">
        <f t="shared" si="29"/>
        <v>0</v>
      </c>
      <c r="AR148" s="171">
        <f t="shared" si="29"/>
        <v>0</v>
      </c>
    </row>
    <row r="149" spans="2:44" s="150" customFormat="1" outlineLevel="1">
      <c r="B149" s="156" t="s">
        <v>16</v>
      </c>
      <c r="C149" s="185" t="s">
        <v>143</v>
      </c>
      <c r="D149" s="167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86"/>
      <c r="AI149" s="167"/>
      <c r="AJ149" s="167"/>
      <c r="AK149" s="167"/>
      <c r="AL149" s="167"/>
      <c r="AM149" s="199">
        <f>IF(AM$41&gt;0,(AM$41-AM161)*1000,0)</f>
        <v>0</v>
      </c>
      <c r="AN149" s="172">
        <f t="shared" si="31"/>
        <v>0</v>
      </c>
      <c r="AO149" s="172">
        <f t="shared" si="29"/>
        <v>0</v>
      </c>
      <c r="AP149" s="172">
        <f t="shared" si="29"/>
        <v>0</v>
      </c>
      <c r="AQ149" s="172">
        <f t="shared" si="29"/>
        <v>0</v>
      </c>
      <c r="AR149" s="172">
        <f t="shared" si="29"/>
        <v>0</v>
      </c>
    </row>
    <row r="150" spans="2:44" s="150" customFormat="1" outlineLevel="1">
      <c r="B150" s="157" t="s">
        <v>75</v>
      </c>
      <c r="C150" s="183" t="s">
        <v>143</v>
      </c>
      <c r="D150" s="168"/>
      <c r="E150" s="168"/>
      <c r="F150" s="168"/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68"/>
      <c r="T150" s="168"/>
      <c r="U150" s="168"/>
      <c r="V150" s="168"/>
      <c r="W150" s="168"/>
      <c r="X150" s="168"/>
      <c r="Y150" s="168"/>
      <c r="Z150" s="168"/>
      <c r="AA150" s="168"/>
      <c r="AB150" s="168"/>
      <c r="AC150" s="168"/>
      <c r="AD150" s="168"/>
      <c r="AE150" s="168"/>
      <c r="AF150" s="168"/>
      <c r="AG150" s="168"/>
      <c r="AH150" s="168"/>
      <c r="AI150" s="168"/>
      <c r="AJ150" s="168"/>
      <c r="AK150" s="168"/>
      <c r="AL150" s="168"/>
      <c r="AM150" s="181"/>
      <c r="AN150" s="168"/>
      <c r="AO150" s="168"/>
      <c r="AP150" s="168"/>
      <c r="AQ150" s="168"/>
      <c r="AR150" s="168"/>
    </row>
    <row r="151" spans="2:44" s="150" customFormat="1" ht="15.75" outlineLevel="1" thickBot="1">
      <c r="B151" s="156" t="s">
        <v>8</v>
      </c>
      <c r="C151" s="160" t="s">
        <v>297</v>
      </c>
      <c r="D151" s="167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200">
        <f>IF(AM$36&gt;0,(AM$36-AM163)*1000,0)</f>
        <v>0</v>
      </c>
      <c r="AN151" s="172">
        <f>-$AM151/5</f>
        <v>0</v>
      </c>
      <c r="AO151" s="172">
        <f t="shared" si="29"/>
        <v>0</v>
      </c>
      <c r="AP151" s="172">
        <f t="shared" si="29"/>
        <v>0</v>
      </c>
      <c r="AQ151" s="172">
        <f t="shared" si="29"/>
        <v>0</v>
      </c>
      <c r="AR151" s="172">
        <f t="shared" si="29"/>
        <v>0</v>
      </c>
    </row>
    <row r="152" spans="2:44" s="150" customFormat="1" outlineLevel="1">
      <c r="B152" s="152"/>
      <c r="C152" s="163"/>
      <c r="D152" s="166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  <c r="AA152" s="166"/>
      <c r="AB152" s="166"/>
      <c r="AC152" s="166"/>
      <c r="AD152" s="166"/>
      <c r="AE152" s="166"/>
      <c r="AF152" s="166"/>
      <c r="AG152" s="166"/>
      <c r="AH152" s="166"/>
      <c r="AI152" s="166"/>
      <c r="AJ152" s="205"/>
      <c r="AK152" s="166"/>
      <c r="AL152" s="205"/>
      <c r="AM152" s="205" t="s">
        <v>103</v>
      </c>
      <c r="AN152" s="205" t="s">
        <v>103</v>
      </c>
      <c r="AO152" s="205" t="s">
        <v>103</v>
      </c>
      <c r="AP152" s="205" t="s">
        <v>103</v>
      </c>
      <c r="AQ152" s="205" t="s">
        <v>103</v>
      </c>
      <c r="AR152" s="205" t="s">
        <v>103</v>
      </c>
    </row>
    <row r="153" spans="2:44" s="150" customFormat="1" outlineLevel="1">
      <c r="B153" s="174" t="s">
        <v>268</v>
      </c>
      <c r="C153" s="163"/>
      <c r="D153" s="166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  <c r="AA153" s="166"/>
      <c r="AB153" s="166"/>
      <c r="AC153" s="166"/>
      <c r="AD153" s="166"/>
      <c r="AE153" s="166"/>
      <c r="AF153" s="166"/>
      <c r="AG153" s="166"/>
      <c r="AH153" s="192"/>
      <c r="AJ153" s="196"/>
      <c r="AK153" s="166"/>
      <c r="AL153" s="166"/>
      <c r="AM153" s="166"/>
      <c r="AN153" s="166"/>
      <c r="AO153" s="166"/>
      <c r="AP153" s="166"/>
      <c r="AQ153" s="166"/>
      <c r="AR153" s="166"/>
    </row>
    <row r="154" spans="2:44" s="150" customFormat="1" outlineLevel="1">
      <c r="B154" s="151" t="s">
        <v>69</v>
      </c>
      <c r="C154" s="158"/>
      <c r="D154" s="155">
        <v>32874</v>
      </c>
      <c r="E154" s="155">
        <v>33239</v>
      </c>
      <c r="F154" s="155">
        <v>33604</v>
      </c>
      <c r="G154" s="155">
        <v>33970</v>
      </c>
      <c r="H154" s="155">
        <v>34335</v>
      </c>
      <c r="I154" s="155">
        <v>34700</v>
      </c>
      <c r="J154" s="155">
        <v>35065</v>
      </c>
      <c r="K154" s="155">
        <v>35431</v>
      </c>
      <c r="L154" s="155">
        <v>35796</v>
      </c>
      <c r="M154" s="155">
        <v>36161</v>
      </c>
      <c r="N154" s="155">
        <v>36526</v>
      </c>
      <c r="O154" s="155">
        <v>36892</v>
      </c>
      <c r="P154" s="155">
        <v>37257</v>
      </c>
      <c r="Q154" s="155">
        <v>37622</v>
      </c>
      <c r="R154" s="155">
        <v>37987</v>
      </c>
      <c r="S154" s="155">
        <v>38353</v>
      </c>
      <c r="T154" s="155">
        <v>38718</v>
      </c>
      <c r="U154" s="155">
        <v>39083</v>
      </c>
      <c r="V154" s="155">
        <v>39448</v>
      </c>
      <c r="W154" s="155">
        <v>39814</v>
      </c>
      <c r="X154" s="155">
        <v>40179</v>
      </c>
      <c r="Y154" s="155">
        <v>40544</v>
      </c>
      <c r="Z154" s="155">
        <v>40909</v>
      </c>
      <c r="AA154" s="155">
        <v>41275</v>
      </c>
      <c r="AB154" s="155">
        <v>41640</v>
      </c>
      <c r="AC154" s="155">
        <v>42005</v>
      </c>
      <c r="AD154" s="155">
        <v>42370</v>
      </c>
      <c r="AE154" s="155">
        <v>42736</v>
      </c>
      <c r="AF154" s="155">
        <v>43101</v>
      </c>
      <c r="AG154" s="155">
        <v>43466</v>
      </c>
      <c r="AH154" s="208">
        <v>43831</v>
      </c>
      <c r="AI154" s="155">
        <v>44197</v>
      </c>
      <c r="AJ154" s="208">
        <v>44562</v>
      </c>
      <c r="AK154" s="155">
        <v>44927</v>
      </c>
      <c r="AL154" s="155">
        <v>45292</v>
      </c>
      <c r="AM154" s="155">
        <v>45658</v>
      </c>
      <c r="AN154" s="155">
        <v>46023</v>
      </c>
      <c r="AO154" s="155">
        <v>46388</v>
      </c>
      <c r="AP154" s="155">
        <v>46753</v>
      </c>
      <c r="AQ154" s="155">
        <v>47119</v>
      </c>
      <c r="AR154" s="155">
        <v>47484</v>
      </c>
    </row>
    <row r="155" spans="2:44" s="150" customFormat="1" outlineLevel="1">
      <c r="B155" s="156" t="s">
        <v>278</v>
      </c>
      <c r="C155" s="185" t="s">
        <v>283</v>
      </c>
      <c r="D155" s="167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94"/>
      <c r="AI155" s="167"/>
      <c r="AJ155" s="178"/>
      <c r="AK155" s="167"/>
      <c r="AL155" s="178"/>
      <c r="AM155" s="178">
        <f t="shared" ref="AM155:AR161" si="32">AM179+AM167/1000</f>
        <v>661.76633426690921</v>
      </c>
      <c r="AN155" s="178">
        <f t="shared" si="32"/>
        <v>622.76633426690921</v>
      </c>
      <c r="AO155" s="178">
        <f t="shared" si="32"/>
        <v>583.76633426690921</v>
      </c>
      <c r="AP155" s="178">
        <f t="shared" si="32"/>
        <v>541.76633426690921</v>
      </c>
      <c r="AQ155" s="178">
        <f t="shared" si="32"/>
        <v>500.76633426690915</v>
      </c>
      <c r="AR155" s="178">
        <f t="shared" si="32"/>
        <v>456.76633426690915</v>
      </c>
    </row>
    <row r="156" spans="2:44" s="150" customFormat="1" outlineLevel="1">
      <c r="B156" s="157" t="s">
        <v>8</v>
      </c>
      <c r="C156" s="183" t="s">
        <v>283</v>
      </c>
      <c r="D156" s="168"/>
      <c r="E156" s="168"/>
      <c r="F156" s="168"/>
      <c r="G156" s="168"/>
      <c r="H156" s="168"/>
      <c r="I156" s="168"/>
      <c r="J156" s="168"/>
      <c r="K156" s="168"/>
      <c r="L156" s="168"/>
      <c r="M156" s="168"/>
      <c r="N156" s="168"/>
      <c r="O156" s="168"/>
      <c r="P156" s="168"/>
      <c r="Q156" s="168"/>
      <c r="R156" s="168"/>
      <c r="S156" s="168"/>
      <c r="T156" s="168"/>
      <c r="U156" s="168"/>
      <c r="V156" s="168"/>
      <c r="W156" s="168"/>
      <c r="X156" s="168"/>
      <c r="Y156" s="168"/>
      <c r="Z156" s="168"/>
      <c r="AA156" s="168"/>
      <c r="AB156" s="168"/>
      <c r="AC156" s="168"/>
      <c r="AD156" s="168"/>
      <c r="AE156" s="168"/>
      <c r="AF156" s="168"/>
      <c r="AG156" s="168"/>
      <c r="AH156" s="193"/>
      <c r="AI156" s="168"/>
      <c r="AJ156" s="176"/>
      <c r="AK156" s="168"/>
      <c r="AL156" s="176"/>
      <c r="AM156" s="171" t="e">
        <f t="shared" si="32"/>
        <v>#N/A</v>
      </c>
      <c r="AN156" s="171" t="e">
        <f t="shared" si="32"/>
        <v>#N/A</v>
      </c>
      <c r="AO156" s="171" t="e">
        <f t="shared" si="32"/>
        <v>#N/A</v>
      </c>
      <c r="AP156" s="171" t="e">
        <f t="shared" si="32"/>
        <v>#N/A</v>
      </c>
      <c r="AQ156" s="171" t="e">
        <f t="shared" si="32"/>
        <v>#N/A</v>
      </c>
      <c r="AR156" s="171" t="e">
        <f t="shared" si="32"/>
        <v>#N/A</v>
      </c>
    </row>
    <row r="157" spans="2:44" s="150" customFormat="1" outlineLevel="1">
      <c r="B157" s="156" t="s">
        <v>9</v>
      </c>
      <c r="C157" s="185" t="s">
        <v>283</v>
      </c>
      <c r="D157" s="167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94"/>
      <c r="AI157" s="167"/>
      <c r="AJ157" s="178"/>
      <c r="AK157" s="167"/>
      <c r="AL157" s="178"/>
      <c r="AM157" s="178">
        <f t="shared" si="32"/>
        <v>163.49204001506132</v>
      </c>
      <c r="AN157" s="178">
        <f t="shared" si="32"/>
        <v>155.49204001506132</v>
      </c>
      <c r="AO157" s="178">
        <f t="shared" si="32"/>
        <v>146.49204001506132</v>
      </c>
      <c r="AP157" s="178">
        <f t="shared" si="32"/>
        <v>138.49204001506132</v>
      </c>
      <c r="AQ157" s="178">
        <f t="shared" si="32"/>
        <v>131.49204001506129</v>
      </c>
      <c r="AR157" s="178">
        <f t="shared" si="32"/>
        <v>124.49204001506129</v>
      </c>
    </row>
    <row r="158" spans="2:44" s="150" customFormat="1" outlineLevel="1">
      <c r="B158" s="180" t="s">
        <v>10</v>
      </c>
      <c r="C158" s="183" t="s">
        <v>283</v>
      </c>
      <c r="D158" s="168"/>
      <c r="E158" s="168"/>
      <c r="F158" s="168"/>
      <c r="G158" s="168"/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68"/>
      <c r="S158" s="168"/>
      <c r="T158" s="168"/>
      <c r="U158" s="168"/>
      <c r="V158" s="168"/>
      <c r="W158" s="168"/>
      <c r="X158" s="168"/>
      <c r="Y158" s="168"/>
      <c r="Z158" s="168"/>
      <c r="AA158" s="168"/>
      <c r="AB158" s="168"/>
      <c r="AC158" s="168"/>
      <c r="AD158" s="168"/>
      <c r="AE158" s="168"/>
      <c r="AF158" s="168"/>
      <c r="AG158" s="168"/>
      <c r="AH158" s="193"/>
      <c r="AI158" s="168"/>
      <c r="AJ158" s="176"/>
      <c r="AK158" s="168"/>
      <c r="AL158" s="176"/>
      <c r="AM158" s="176">
        <f t="shared" si="32"/>
        <v>89.993523317110458</v>
      </c>
      <c r="AN158" s="176">
        <f t="shared" si="32"/>
        <v>84.993523317110458</v>
      </c>
      <c r="AO158" s="176">
        <f t="shared" si="32"/>
        <v>79.993523317110458</v>
      </c>
      <c r="AP158" s="176">
        <f t="shared" si="32"/>
        <v>74.993523317110458</v>
      </c>
      <c r="AQ158" s="176">
        <f t="shared" si="32"/>
        <v>69.993523317110458</v>
      </c>
      <c r="AR158" s="176">
        <f t="shared" si="32"/>
        <v>64.993523317110458</v>
      </c>
    </row>
    <row r="159" spans="2:44" s="150" customFormat="1" outlineLevel="1">
      <c r="B159" s="156" t="s">
        <v>14</v>
      </c>
      <c r="C159" s="185" t="s">
        <v>283</v>
      </c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  <c r="R159" s="173"/>
      <c r="S159" s="173"/>
      <c r="T159" s="173"/>
      <c r="U159" s="173"/>
      <c r="V159" s="173"/>
      <c r="W159" s="173"/>
      <c r="X159" s="173"/>
      <c r="Y159" s="173"/>
      <c r="Z159" s="173"/>
      <c r="AA159" s="173"/>
      <c r="AB159" s="173"/>
      <c r="AC159" s="173"/>
      <c r="AD159" s="173"/>
      <c r="AE159" s="173"/>
      <c r="AF159" s="173"/>
      <c r="AG159" s="173"/>
      <c r="AH159" s="194"/>
      <c r="AI159" s="173"/>
      <c r="AJ159" s="178"/>
      <c r="AK159" s="173"/>
      <c r="AL159" s="178"/>
      <c r="AM159" s="178">
        <f t="shared" si="32"/>
        <v>116.95743113476038</v>
      </c>
      <c r="AN159" s="178">
        <f t="shared" si="32"/>
        <v>110.95743113476038</v>
      </c>
      <c r="AO159" s="178">
        <f t="shared" si="32"/>
        <v>105.95743113476038</v>
      </c>
      <c r="AP159" s="178">
        <f t="shared" si="32"/>
        <v>98.957431134760384</v>
      </c>
      <c r="AQ159" s="178">
        <f t="shared" si="32"/>
        <v>89.957431134760384</v>
      </c>
      <c r="AR159" s="178">
        <f t="shared" si="32"/>
        <v>78.957431134760384</v>
      </c>
    </row>
    <row r="160" spans="2:44" s="150" customFormat="1" outlineLevel="1">
      <c r="B160" s="157" t="s">
        <v>15</v>
      </c>
      <c r="C160" s="183" t="s">
        <v>283</v>
      </c>
      <c r="D160" s="168"/>
      <c r="E160" s="168"/>
      <c r="F160" s="168"/>
      <c r="G160" s="168"/>
      <c r="H160" s="168"/>
      <c r="I160" s="168"/>
      <c r="J160" s="168"/>
      <c r="K160" s="168"/>
      <c r="L160" s="168"/>
      <c r="M160" s="168"/>
      <c r="N160" s="168"/>
      <c r="O160" s="168"/>
      <c r="P160" s="168"/>
      <c r="Q160" s="168"/>
      <c r="R160" s="168"/>
      <c r="S160" s="168"/>
      <c r="T160" s="168"/>
      <c r="U160" s="168"/>
      <c r="V160" s="168"/>
      <c r="W160" s="168"/>
      <c r="X160" s="168"/>
      <c r="Y160" s="168"/>
      <c r="Z160" s="168"/>
      <c r="AA160" s="168"/>
      <c r="AB160" s="168"/>
      <c r="AC160" s="168"/>
      <c r="AD160" s="168"/>
      <c r="AE160" s="168"/>
      <c r="AF160" s="168"/>
      <c r="AG160" s="168"/>
      <c r="AH160" s="193"/>
      <c r="AI160" s="168"/>
      <c r="AJ160" s="176"/>
      <c r="AK160" s="168"/>
      <c r="AL160" s="176"/>
      <c r="AM160" s="176">
        <f t="shared" si="32"/>
        <v>65.804760460583651</v>
      </c>
      <c r="AN160" s="176">
        <f t="shared" si="32"/>
        <v>64.804760460583651</v>
      </c>
      <c r="AO160" s="176">
        <f t="shared" si="32"/>
        <v>63.804760460583658</v>
      </c>
      <c r="AP160" s="176">
        <f t="shared" si="32"/>
        <v>61.804760460583658</v>
      </c>
      <c r="AQ160" s="176">
        <f t="shared" si="32"/>
        <v>59.804760460583658</v>
      </c>
      <c r="AR160" s="176">
        <f t="shared" si="32"/>
        <v>58.804760460583658</v>
      </c>
    </row>
    <row r="161" spans="2:46" s="150" customFormat="1" outlineLevel="1">
      <c r="B161" s="156" t="s">
        <v>16</v>
      </c>
      <c r="C161" s="185" t="s">
        <v>283</v>
      </c>
      <c r="D161" s="167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94"/>
      <c r="AI161" s="167"/>
      <c r="AJ161" s="178"/>
      <c r="AK161" s="167"/>
      <c r="AL161" s="178"/>
      <c r="AM161" s="178">
        <f t="shared" si="32"/>
        <v>8.8333359954203825</v>
      </c>
      <c r="AN161" s="178">
        <f t="shared" si="32"/>
        <v>7.8333359954203834</v>
      </c>
      <c r="AO161" s="178">
        <f t="shared" si="32"/>
        <v>7.8333359954203834</v>
      </c>
      <c r="AP161" s="178">
        <f t="shared" si="32"/>
        <v>6.8333359954203834</v>
      </c>
      <c r="AQ161" s="178">
        <f t="shared" si="32"/>
        <v>6.8333359954203834</v>
      </c>
      <c r="AR161" s="178">
        <f t="shared" si="32"/>
        <v>5.8333359954203834</v>
      </c>
    </row>
    <row r="162" spans="2:46" s="150" customFormat="1" outlineLevel="1">
      <c r="B162" s="157" t="s">
        <v>75</v>
      </c>
      <c r="C162" s="183" t="s">
        <v>283</v>
      </c>
      <c r="D162" s="168"/>
      <c r="E162" s="168"/>
      <c r="F162" s="168"/>
      <c r="G162" s="168"/>
      <c r="H162" s="168"/>
      <c r="I162" s="168"/>
      <c r="J162" s="168"/>
      <c r="K162" s="168"/>
      <c r="L162" s="168"/>
      <c r="M162" s="168"/>
      <c r="N162" s="168"/>
      <c r="O162" s="168"/>
      <c r="P162" s="168"/>
      <c r="Q162" s="168"/>
      <c r="R162" s="168"/>
      <c r="S162" s="168"/>
      <c r="T162" s="168"/>
      <c r="U162" s="168"/>
      <c r="V162" s="168"/>
      <c r="W162" s="168"/>
      <c r="X162" s="168"/>
      <c r="Y162" s="168"/>
      <c r="Z162" s="168"/>
      <c r="AA162" s="168"/>
      <c r="AB162" s="168"/>
      <c r="AC162" s="168"/>
      <c r="AD162" s="168"/>
      <c r="AE162" s="168"/>
      <c r="AF162" s="168"/>
      <c r="AG162" s="168"/>
      <c r="AH162" s="182"/>
      <c r="AI162" s="168"/>
      <c r="AJ162" s="182"/>
      <c r="AK162" s="168"/>
      <c r="AL162" s="182"/>
      <c r="AM162" s="168"/>
      <c r="AN162" s="168"/>
      <c r="AO162" s="168"/>
      <c r="AP162" s="168"/>
      <c r="AQ162" s="168"/>
      <c r="AR162" s="168"/>
    </row>
    <row r="163" spans="2:46" s="150" customFormat="1" outlineLevel="1">
      <c r="B163" s="156" t="s">
        <v>8</v>
      </c>
      <c r="C163" s="160" t="s">
        <v>297</v>
      </c>
      <c r="D163" s="167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95"/>
      <c r="AI163" s="167"/>
      <c r="AJ163" s="195"/>
      <c r="AK163" s="167"/>
      <c r="AL163" s="167"/>
      <c r="AM163" s="178">
        <f t="shared" ref="AM163:AR163" si="33">AM187+AM175/1000</f>
        <v>216.74774334397299</v>
      </c>
      <c r="AN163" s="178">
        <f t="shared" si="33"/>
        <v>198.12274334397299</v>
      </c>
      <c r="AO163" s="178">
        <f t="shared" si="33"/>
        <v>179.49774334397299</v>
      </c>
      <c r="AP163" s="178">
        <f t="shared" si="33"/>
        <v>160.87274334397299</v>
      </c>
      <c r="AQ163" s="178">
        <f t="shared" si="33"/>
        <v>142.24774334397299</v>
      </c>
      <c r="AR163" s="178">
        <f t="shared" si="33"/>
        <v>123.62274334397297</v>
      </c>
    </row>
    <row r="164" spans="2:46" s="150" customFormat="1" ht="29.25" customHeight="1" outlineLevel="1" thickBot="1">
      <c r="B164" s="154"/>
      <c r="C164" s="161"/>
      <c r="D164" s="149"/>
      <c r="E164" s="149"/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  <c r="AE164" s="149"/>
      <c r="AF164" s="149"/>
      <c r="AG164" s="149"/>
      <c r="AH164" s="209"/>
      <c r="AI164" s="210"/>
      <c r="AJ164" s="206"/>
      <c r="AK164" s="207"/>
      <c r="AL164" s="207"/>
      <c r="AM164" s="206" t="s">
        <v>103</v>
      </c>
      <c r="AN164" s="206" t="s">
        <v>103</v>
      </c>
      <c r="AO164" s="206" t="s">
        <v>103</v>
      </c>
      <c r="AP164" s="206" t="s">
        <v>103</v>
      </c>
      <c r="AQ164" s="206" t="s">
        <v>103</v>
      </c>
      <c r="AR164" s="206" t="s">
        <v>103</v>
      </c>
    </row>
    <row r="165" spans="2:46" s="150" customFormat="1" outlineLevel="1">
      <c r="B165" s="174" t="s">
        <v>269</v>
      </c>
      <c r="C165" s="163"/>
      <c r="D165" s="166"/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  <c r="V165" s="166"/>
      <c r="W165" s="166"/>
      <c r="X165" s="166"/>
      <c r="Y165" s="166"/>
      <c r="Z165" s="166"/>
      <c r="AA165" s="166"/>
      <c r="AB165" s="166"/>
      <c r="AC165" s="166"/>
      <c r="AD165" s="166"/>
      <c r="AE165" s="166"/>
      <c r="AF165" s="166"/>
      <c r="AG165" s="166"/>
      <c r="AH165" s="166"/>
      <c r="AI165" s="166"/>
      <c r="AJ165" s="166"/>
      <c r="AK165" s="166"/>
      <c r="AL165" s="216" t="s">
        <v>41</v>
      </c>
      <c r="AM165" s="196" t="s">
        <v>259</v>
      </c>
      <c r="AN165" s="166"/>
      <c r="AO165" s="166"/>
      <c r="AP165" s="166"/>
      <c r="AQ165" s="166"/>
      <c r="AR165" s="166"/>
    </row>
    <row r="166" spans="2:46" s="150" customFormat="1" outlineLevel="1">
      <c r="B166" s="151" t="s">
        <v>69</v>
      </c>
      <c r="C166" s="158"/>
      <c r="D166" s="155">
        <v>32874</v>
      </c>
      <c r="E166" s="155">
        <v>33239</v>
      </c>
      <c r="F166" s="155">
        <v>33604</v>
      </c>
      <c r="G166" s="155">
        <v>33970</v>
      </c>
      <c r="H166" s="155">
        <v>34335</v>
      </c>
      <c r="I166" s="155">
        <v>34700</v>
      </c>
      <c r="J166" s="155">
        <v>35065</v>
      </c>
      <c r="K166" s="155">
        <v>35431</v>
      </c>
      <c r="L166" s="155">
        <v>35796</v>
      </c>
      <c r="M166" s="155">
        <v>36161</v>
      </c>
      <c r="N166" s="155">
        <v>36526</v>
      </c>
      <c r="O166" s="155">
        <v>36892</v>
      </c>
      <c r="P166" s="155">
        <v>37257</v>
      </c>
      <c r="Q166" s="155">
        <v>37622</v>
      </c>
      <c r="R166" s="155">
        <v>37987</v>
      </c>
      <c r="S166" s="155">
        <v>38353</v>
      </c>
      <c r="T166" s="155">
        <v>38718</v>
      </c>
      <c r="U166" s="155">
        <v>39083</v>
      </c>
      <c r="V166" s="155">
        <v>39448</v>
      </c>
      <c r="W166" s="155">
        <v>39814</v>
      </c>
      <c r="X166" s="155">
        <v>40179</v>
      </c>
      <c r="Y166" s="155">
        <v>40544</v>
      </c>
      <c r="Z166" s="155">
        <v>40909</v>
      </c>
      <c r="AA166" s="155">
        <v>41275</v>
      </c>
      <c r="AB166" s="155">
        <v>41640</v>
      </c>
      <c r="AC166" s="155">
        <v>42005</v>
      </c>
      <c r="AD166" s="155">
        <v>42370</v>
      </c>
      <c r="AE166" s="155">
        <v>42736</v>
      </c>
      <c r="AF166" s="155">
        <v>43101</v>
      </c>
      <c r="AG166" s="155">
        <v>43466</v>
      </c>
      <c r="AH166" s="155">
        <v>43831</v>
      </c>
      <c r="AI166" s="155">
        <v>44197</v>
      </c>
      <c r="AJ166" s="155">
        <v>44562</v>
      </c>
      <c r="AK166" s="155">
        <v>44927</v>
      </c>
      <c r="AL166" s="175">
        <v>45292</v>
      </c>
      <c r="AM166" s="155">
        <v>45658</v>
      </c>
      <c r="AN166" s="155">
        <v>46023</v>
      </c>
      <c r="AO166" s="155">
        <v>46388</v>
      </c>
      <c r="AP166" s="155">
        <v>46753</v>
      </c>
      <c r="AQ166" s="155">
        <v>47119</v>
      </c>
      <c r="AR166" s="155">
        <v>47484</v>
      </c>
    </row>
    <row r="167" spans="2:46" s="150" customFormat="1" outlineLevel="1">
      <c r="B167" s="156" t="s">
        <v>278</v>
      </c>
      <c r="C167" s="185" t="s">
        <v>143</v>
      </c>
      <c r="D167" s="167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86"/>
      <c r="AI167" s="167"/>
      <c r="AJ167" s="167"/>
      <c r="AK167" s="167"/>
      <c r="AL167" s="199">
        <f>IF(AL$35&gt;0,(AL$35-AL179)*1000,0)</f>
        <v>-44320.864263825795</v>
      </c>
      <c r="AM167" s="172">
        <f t="shared" ref="AM167:AR167" si="34">-$AL167/6</f>
        <v>7386.8107106376328</v>
      </c>
      <c r="AN167" s="172">
        <f t="shared" si="34"/>
        <v>7386.8107106376328</v>
      </c>
      <c r="AO167" s="172">
        <f t="shared" si="34"/>
        <v>7386.8107106376328</v>
      </c>
      <c r="AP167" s="172">
        <f t="shared" si="34"/>
        <v>7386.8107106376328</v>
      </c>
      <c r="AQ167" s="172">
        <f t="shared" si="34"/>
        <v>7386.8107106376328</v>
      </c>
      <c r="AR167" s="172">
        <f t="shared" si="34"/>
        <v>7386.8107106376328</v>
      </c>
    </row>
    <row r="168" spans="2:46" s="150" customFormat="1" outlineLevel="1">
      <c r="B168" s="157" t="s">
        <v>8</v>
      </c>
      <c r="C168" s="183" t="s">
        <v>143</v>
      </c>
      <c r="D168" s="168"/>
      <c r="E168" s="168"/>
      <c r="F168" s="168"/>
      <c r="G168" s="168"/>
      <c r="H168" s="168"/>
      <c r="I168" s="168"/>
      <c r="J168" s="168"/>
      <c r="K168" s="168"/>
      <c r="L168" s="168"/>
      <c r="M168" s="168"/>
      <c r="N168" s="168"/>
      <c r="O168" s="168"/>
      <c r="P168" s="168"/>
      <c r="Q168" s="168"/>
      <c r="R168" s="168"/>
      <c r="S168" s="168"/>
      <c r="T168" s="168"/>
      <c r="U168" s="168"/>
      <c r="V168" s="168"/>
      <c r="W168" s="168"/>
      <c r="X168" s="168"/>
      <c r="Y168" s="168"/>
      <c r="Z168" s="168"/>
      <c r="AA168" s="168"/>
      <c r="AB168" s="168"/>
      <c r="AC168" s="168"/>
      <c r="AD168" s="168"/>
      <c r="AE168" s="168"/>
      <c r="AF168" s="168"/>
      <c r="AG168" s="168"/>
      <c r="AH168" s="184"/>
      <c r="AI168" s="168"/>
      <c r="AJ168" s="168"/>
      <c r="AK168" s="168"/>
      <c r="AL168" s="199" t="e">
        <f t="shared" ref="AL168" si="35">(AL36-AL180)*1000</f>
        <v>#N/A</v>
      </c>
      <c r="AM168" s="204" t="e">
        <v>#N/A</v>
      </c>
      <c r="AN168" s="204" t="e">
        <v>#N/A</v>
      </c>
      <c r="AO168" s="204" t="e">
        <v>#N/A</v>
      </c>
      <c r="AP168" s="204" t="e">
        <v>#N/A</v>
      </c>
      <c r="AQ168" s="204" t="e">
        <v>#N/A</v>
      </c>
      <c r="AR168" s="204" t="e">
        <f>-$AL168/6</f>
        <v>#N/A</v>
      </c>
    </row>
    <row r="169" spans="2:46" s="150" customFormat="1" outlineLevel="1">
      <c r="B169" s="156" t="s">
        <v>9</v>
      </c>
      <c r="C169" s="185" t="s">
        <v>143</v>
      </c>
      <c r="D169" s="167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86"/>
      <c r="AI169" s="167"/>
      <c r="AJ169" s="167"/>
      <c r="AK169" s="167"/>
      <c r="AL169" s="199">
        <f>IF(AL$37&gt;0,(AL$37-AL181)*1000,0)</f>
        <v>-15844.085920114367</v>
      </c>
      <c r="AM169" s="172">
        <f>-$AL169/6</f>
        <v>2640.6809866857279</v>
      </c>
      <c r="AN169" s="172">
        <f t="shared" ref="AN169:AR175" si="36">-$AL169/6</f>
        <v>2640.6809866857279</v>
      </c>
      <c r="AO169" s="172">
        <f t="shared" si="36"/>
        <v>2640.6809866857279</v>
      </c>
      <c r="AP169" s="172">
        <f t="shared" si="36"/>
        <v>2640.6809866857279</v>
      </c>
      <c r="AQ169" s="172">
        <f t="shared" si="36"/>
        <v>2640.6809866857279</v>
      </c>
      <c r="AR169" s="172">
        <f t="shared" si="36"/>
        <v>2640.6809866857279</v>
      </c>
    </row>
    <row r="170" spans="2:46" s="150" customFormat="1" outlineLevel="1">
      <c r="B170" s="180" t="s">
        <v>10</v>
      </c>
      <c r="C170" s="183" t="s">
        <v>143</v>
      </c>
      <c r="D170" s="168"/>
      <c r="E170" s="168"/>
      <c r="F170" s="168"/>
      <c r="G170" s="168"/>
      <c r="H170" s="168"/>
      <c r="I170" s="168"/>
      <c r="J170" s="168"/>
      <c r="K170" s="168"/>
      <c r="L170" s="168"/>
      <c r="M170" s="168"/>
      <c r="N170" s="168"/>
      <c r="O170" s="168"/>
      <c r="P170" s="168"/>
      <c r="Q170" s="168"/>
      <c r="R170" s="168"/>
      <c r="S170" s="168"/>
      <c r="T170" s="168"/>
      <c r="U170" s="168"/>
      <c r="V170" s="168"/>
      <c r="W170" s="168"/>
      <c r="X170" s="168"/>
      <c r="Y170" s="168"/>
      <c r="Z170" s="168"/>
      <c r="AA170" s="168"/>
      <c r="AB170" s="168"/>
      <c r="AC170" s="168"/>
      <c r="AD170" s="168"/>
      <c r="AE170" s="168"/>
      <c r="AF170" s="168"/>
      <c r="AG170" s="168"/>
      <c r="AH170" s="184"/>
      <c r="AI170" s="168"/>
      <c r="AJ170" s="168"/>
      <c r="AK170" s="168"/>
      <c r="AL170" s="199">
        <f>IF(AL$38&gt;0,(AL$38-AL182)*1000,0)</f>
        <v>4750.8948922861264</v>
      </c>
      <c r="AM170" s="171">
        <f>-$AL170/6</f>
        <v>-791.81581538102103</v>
      </c>
      <c r="AN170" s="171">
        <f t="shared" si="36"/>
        <v>-791.81581538102103</v>
      </c>
      <c r="AO170" s="171">
        <f t="shared" si="36"/>
        <v>-791.81581538102103</v>
      </c>
      <c r="AP170" s="171">
        <f t="shared" si="36"/>
        <v>-791.81581538102103</v>
      </c>
      <c r="AQ170" s="171">
        <f t="shared" si="36"/>
        <v>-791.81581538102103</v>
      </c>
      <c r="AR170" s="171">
        <f t="shared" si="36"/>
        <v>-791.81581538102103</v>
      </c>
      <c r="AT170" s="150">
        <f ca="1">AL170*100/AL25</f>
        <v>4959.9395223883157</v>
      </c>
    </row>
    <row r="171" spans="2:46" s="150" customFormat="1" outlineLevel="1">
      <c r="B171" s="156" t="s">
        <v>14</v>
      </c>
      <c r="C171" s="185" t="s">
        <v>143</v>
      </c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  <c r="R171" s="173"/>
      <c r="S171" s="173"/>
      <c r="T171" s="173"/>
      <c r="U171" s="173"/>
      <c r="V171" s="173"/>
      <c r="W171" s="173"/>
      <c r="X171" s="173"/>
      <c r="Y171" s="173"/>
      <c r="Z171" s="173"/>
      <c r="AA171" s="173"/>
      <c r="AB171" s="173"/>
      <c r="AC171" s="173"/>
      <c r="AD171" s="173"/>
      <c r="AE171" s="173"/>
      <c r="AF171" s="173"/>
      <c r="AG171" s="173"/>
      <c r="AH171" s="186"/>
      <c r="AI171" s="173"/>
      <c r="AJ171" s="173"/>
      <c r="AK171" s="173"/>
      <c r="AL171" s="199">
        <f>IF(AL$39&gt;0,(AL$39-AL183)*1000,0)</f>
        <v>18083.431811479983</v>
      </c>
      <c r="AM171" s="172">
        <f t="shared" ref="AM171:AM173" si="37">-$AL171/6</f>
        <v>-3013.9053019133303</v>
      </c>
      <c r="AN171" s="172">
        <f t="shared" si="36"/>
        <v>-3013.9053019133303</v>
      </c>
      <c r="AO171" s="172">
        <f t="shared" si="36"/>
        <v>-3013.9053019133303</v>
      </c>
      <c r="AP171" s="172">
        <f t="shared" si="36"/>
        <v>-3013.9053019133303</v>
      </c>
      <c r="AQ171" s="172">
        <f t="shared" si="36"/>
        <v>-3013.9053019133303</v>
      </c>
      <c r="AR171" s="172">
        <f t="shared" si="36"/>
        <v>-3013.9053019133303</v>
      </c>
    </row>
    <row r="172" spans="2:46" s="150" customFormat="1" outlineLevel="1">
      <c r="B172" s="157" t="s">
        <v>15</v>
      </c>
      <c r="C172" s="183" t="s">
        <v>143</v>
      </c>
      <c r="D172" s="168"/>
      <c r="E172" s="168"/>
      <c r="F172" s="168"/>
      <c r="G172" s="168"/>
      <c r="H172" s="168"/>
      <c r="I172" s="168"/>
      <c r="J172" s="168"/>
      <c r="K172" s="168"/>
      <c r="L172" s="168"/>
      <c r="M172" s="168"/>
      <c r="N172" s="168"/>
      <c r="O172" s="168"/>
      <c r="P172" s="168"/>
      <c r="Q172" s="168"/>
      <c r="R172" s="168"/>
      <c r="S172" s="168"/>
      <c r="T172" s="168"/>
      <c r="U172" s="168"/>
      <c r="V172" s="168"/>
      <c r="W172" s="168"/>
      <c r="X172" s="168"/>
      <c r="Y172" s="168"/>
      <c r="Z172" s="168"/>
      <c r="AA172" s="168"/>
      <c r="AB172" s="168"/>
      <c r="AC172" s="168"/>
      <c r="AD172" s="168"/>
      <c r="AE172" s="168"/>
      <c r="AF172" s="168"/>
      <c r="AG172" s="168"/>
      <c r="AH172" s="184"/>
      <c r="AI172" s="168"/>
      <c r="AJ172" s="168"/>
      <c r="AK172" s="168"/>
      <c r="AL172" s="199">
        <f>IF(AL$40&gt;0,(AL$40-AL184)*1000,0)</f>
        <v>-4880.3715748387758</v>
      </c>
      <c r="AM172" s="171">
        <f t="shared" si="37"/>
        <v>813.39526247312926</v>
      </c>
      <c r="AN172" s="171">
        <f t="shared" si="36"/>
        <v>813.39526247312926</v>
      </c>
      <c r="AO172" s="171">
        <f t="shared" si="36"/>
        <v>813.39526247312926</v>
      </c>
      <c r="AP172" s="171">
        <f t="shared" si="36"/>
        <v>813.39526247312926</v>
      </c>
      <c r="AQ172" s="171">
        <f t="shared" si="36"/>
        <v>813.39526247312926</v>
      </c>
      <c r="AR172" s="171">
        <f t="shared" si="36"/>
        <v>813.39526247312926</v>
      </c>
    </row>
    <row r="173" spans="2:46" s="150" customFormat="1" outlineLevel="1">
      <c r="B173" s="156" t="s">
        <v>16</v>
      </c>
      <c r="C173" s="185" t="s">
        <v>143</v>
      </c>
      <c r="D173" s="167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86"/>
      <c r="AI173" s="167"/>
      <c r="AJ173" s="167"/>
      <c r="AK173" s="167"/>
      <c r="AL173" s="199">
        <f>IF(AL$41&gt;0,(AL$41-AL185)*1000,0)</f>
        <v>-2980.9989000185624</v>
      </c>
      <c r="AM173" s="172">
        <f t="shared" si="37"/>
        <v>496.83315000309375</v>
      </c>
      <c r="AN173" s="172">
        <f t="shared" si="36"/>
        <v>496.83315000309375</v>
      </c>
      <c r="AO173" s="172">
        <f t="shared" si="36"/>
        <v>496.83315000309375</v>
      </c>
      <c r="AP173" s="172">
        <f t="shared" si="36"/>
        <v>496.83315000309375</v>
      </c>
      <c r="AQ173" s="172">
        <f t="shared" si="36"/>
        <v>496.83315000309375</v>
      </c>
      <c r="AR173" s="172">
        <f t="shared" si="36"/>
        <v>496.83315000309375</v>
      </c>
    </row>
    <row r="174" spans="2:46" s="150" customFormat="1" outlineLevel="1">
      <c r="B174" s="157" t="s">
        <v>75</v>
      </c>
      <c r="C174" s="183" t="s">
        <v>143</v>
      </c>
      <c r="D174" s="168"/>
      <c r="E174" s="168"/>
      <c r="F174" s="168"/>
      <c r="G174" s="168"/>
      <c r="H174" s="168"/>
      <c r="I174" s="168"/>
      <c r="J174" s="168"/>
      <c r="K174" s="168"/>
      <c r="L174" s="168"/>
      <c r="M174" s="168"/>
      <c r="N174" s="168"/>
      <c r="O174" s="168"/>
      <c r="P174" s="168"/>
      <c r="Q174" s="168"/>
      <c r="R174" s="168"/>
      <c r="S174" s="168"/>
      <c r="T174" s="168"/>
      <c r="U174" s="168"/>
      <c r="V174" s="168"/>
      <c r="W174" s="168"/>
      <c r="X174" s="168"/>
      <c r="Y174" s="168"/>
      <c r="Z174" s="168"/>
      <c r="AA174" s="168"/>
      <c r="AB174" s="168"/>
      <c r="AC174" s="168"/>
      <c r="AD174" s="168"/>
      <c r="AE174" s="168"/>
      <c r="AF174" s="168"/>
      <c r="AG174" s="168"/>
      <c r="AH174" s="168"/>
      <c r="AI174" s="168"/>
      <c r="AJ174" s="168"/>
      <c r="AK174" s="168"/>
      <c r="AL174" s="181"/>
      <c r="AM174" s="168"/>
      <c r="AN174" s="168"/>
      <c r="AO174" s="168"/>
      <c r="AP174" s="168"/>
      <c r="AQ174" s="168"/>
      <c r="AR174" s="168"/>
    </row>
    <row r="175" spans="2:46" s="150" customFormat="1" ht="15.75" outlineLevel="1" thickBot="1">
      <c r="B175" s="156" t="s">
        <v>8</v>
      </c>
      <c r="C175" s="160" t="s">
        <v>297</v>
      </c>
      <c r="D175" s="167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200">
        <f>IF(AL$36&gt;0,(AL$36-AL187)*1000,0)</f>
        <v>-43181.877429763008</v>
      </c>
      <c r="AM175" s="172">
        <f>-$AL175/6</f>
        <v>7196.9795716271683</v>
      </c>
      <c r="AN175" s="172">
        <f t="shared" si="36"/>
        <v>7196.9795716271683</v>
      </c>
      <c r="AO175" s="172">
        <f t="shared" si="36"/>
        <v>7196.9795716271683</v>
      </c>
      <c r="AP175" s="172">
        <f t="shared" si="36"/>
        <v>7196.9795716271683</v>
      </c>
      <c r="AQ175" s="172">
        <f t="shared" si="36"/>
        <v>7196.9795716271683</v>
      </c>
      <c r="AR175" s="172">
        <f t="shared" si="36"/>
        <v>7196.9795716271683</v>
      </c>
    </row>
    <row r="176" spans="2:46" s="150" customFormat="1" outlineLevel="1">
      <c r="B176" s="152"/>
      <c r="C176" s="163"/>
      <c r="D176" s="166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6"/>
      <c r="AH176" s="166"/>
      <c r="AI176" s="166"/>
      <c r="AJ176" s="205"/>
      <c r="AK176" s="166"/>
      <c r="AL176" s="205"/>
      <c r="AM176" s="205" t="s">
        <v>103</v>
      </c>
      <c r="AN176" s="205" t="s">
        <v>103</v>
      </c>
      <c r="AO176" s="205" t="s">
        <v>103</v>
      </c>
      <c r="AP176" s="205" t="s">
        <v>103</v>
      </c>
      <c r="AQ176" s="205" t="s">
        <v>103</v>
      </c>
      <c r="AR176" s="205" t="s">
        <v>103</v>
      </c>
    </row>
    <row r="177" spans="2:44" s="150" customFormat="1">
      <c r="B177" s="174" t="s">
        <v>270</v>
      </c>
      <c r="C177" s="163"/>
      <c r="D177" s="166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6"/>
      <c r="W177" s="166"/>
      <c r="X177" s="166"/>
      <c r="Y177" s="166"/>
      <c r="Z177" s="166"/>
      <c r="AA177" s="166"/>
      <c r="AB177" s="166"/>
      <c r="AC177" s="166"/>
      <c r="AD177" s="166"/>
      <c r="AE177" s="166"/>
      <c r="AF177" s="166"/>
      <c r="AG177" s="166"/>
      <c r="AH177" s="192"/>
      <c r="AJ177" s="196"/>
      <c r="AK177" s="166"/>
      <c r="AL177" s="166"/>
      <c r="AM177" s="166"/>
      <c r="AN177" s="166"/>
      <c r="AO177" s="166"/>
      <c r="AP177" s="166"/>
      <c r="AQ177" s="166"/>
      <c r="AR177" s="166"/>
    </row>
    <row r="178" spans="2:44" s="150" customFormat="1">
      <c r="B178" s="151" t="s">
        <v>69</v>
      </c>
      <c r="C178" s="158"/>
      <c r="D178" s="155">
        <v>32874</v>
      </c>
      <c r="E178" s="155">
        <v>33239</v>
      </c>
      <c r="F178" s="155">
        <v>33604</v>
      </c>
      <c r="G178" s="155">
        <v>33970</v>
      </c>
      <c r="H178" s="155">
        <v>34335</v>
      </c>
      <c r="I178" s="155">
        <v>34700</v>
      </c>
      <c r="J178" s="155">
        <v>35065</v>
      </c>
      <c r="K178" s="155">
        <v>35431</v>
      </c>
      <c r="L178" s="155">
        <v>35796</v>
      </c>
      <c r="M178" s="155">
        <v>36161</v>
      </c>
      <c r="N178" s="155">
        <v>36526</v>
      </c>
      <c r="O178" s="155">
        <v>36892</v>
      </c>
      <c r="P178" s="155">
        <v>37257</v>
      </c>
      <c r="Q178" s="155">
        <v>37622</v>
      </c>
      <c r="R178" s="155">
        <v>37987</v>
      </c>
      <c r="S178" s="155">
        <v>38353</v>
      </c>
      <c r="T178" s="155">
        <v>38718</v>
      </c>
      <c r="U178" s="155">
        <v>39083</v>
      </c>
      <c r="V178" s="155">
        <v>39448</v>
      </c>
      <c r="W178" s="155">
        <v>39814</v>
      </c>
      <c r="X178" s="155">
        <v>40179</v>
      </c>
      <c r="Y178" s="155">
        <v>40544</v>
      </c>
      <c r="Z178" s="155">
        <v>40909</v>
      </c>
      <c r="AA178" s="155">
        <v>41275</v>
      </c>
      <c r="AB178" s="155">
        <v>41640</v>
      </c>
      <c r="AC178" s="155">
        <v>42005</v>
      </c>
      <c r="AD178" s="155">
        <v>42370</v>
      </c>
      <c r="AE178" s="155">
        <v>42736</v>
      </c>
      <c r="AF178" s="155">
        <v>43101</v>
      </c>
      <c r="AG178" s="155">
        <v>43466</v>
      </c>
      <c r="AH178" s="208">
        <v>43831</v>
      </c>
      <c r="AI178" s="155">
        <v>44197</v>
      </c>
      <c r="AJ178" s="208">
        <v>44562</v>
      </c>
      <c r="AK178" s="155">
        <v>44927</v>
      </c>
      <c r="AL178" s="155">
        <v>45292</v>
      </c>
      <c r="AM178" s="155">
        <v>45658</v>
      </c>
      <c r="AN178" s="155">
        <v>46023</v>
      </c>
      <c r="AO178" s="155">
        <v>46388</v>
      </c>
      <c r="AP178" s="155">
        <v>46753</v>
      </c>
      <c r="AQ178" s="155">
        <v>47119</v>
      </c>
      <c r="AR178" s="155">
        <v>47484</v>
      </c>
    </row>
    <row r="179" spans="2:44" s="150" customFormat="1">
      <c r="B179" s="156" t="s">
        <v>278</v>
      </c>
      <c r="C179" s="185" t="s">
        <v>289</v>
      </c>
      <c r="D179" s="167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94"/>
      <c r="AI179" s="167"/>
      <c r="AJ179" s="178"/>
      <c r="AK179" s="178"/>
      <c r="AL179" s="194">
        <f t="shared" ref="AL179:AR179" si="38">AL203+AL191/1000</f>
        <v>693.37952355627158</v>
      </c>
      <c r="AM179" s="194">
        <f t="shared" si="38"/>
        <v>654.37952355627158</v>
      </c>
      <c r="AN179" s="194">
        <f t="shared" si="38"/>
        <v>615.37952355627158</v>
      </c>
      <c r="AO179" s="194">
        <f t="shared" si="38"/>
        <v>576.37952355627158</v>
      </c>
      <c r="AP179" s="194">
        <f t="shared" si="38"/>
        <v>534.37952355627158</v>
      </c>
      <c r="AQ179" s="194">
        <f t="shared" si="38"/>
        <v>493.37952355627152</v>
      </c>
      <c r="AR179" s="194">
        <f t="shared" si="38"/>
        <v>449.37952355627152</v>
      </c>
    </row>
    <row r="180" spans="2:44" s="150" customFormat="1">
      <c r="B180" s="157" t="s">
        <v>8</v>
      </c>
      <c r="C180" s="183" t="s">
        <v>282</v>
      </c>
      <c r="D180" s="168"/>
      <c r="E180" s="168"/>
      <c r="F180" s="168"/>
      <c r="G180" s="168"/>
      <c r="H180" s="168"/>
      <c r="I180" s="168"/>
      <c r="J180" s="168"/>
      <c r="K180" s="168"/>
      <c r="L180" s="168"/>
      <c r="M180" s="168"/>
      <c r="N180" s="168"/>
      <c r="O180" s="168"/>
      <c r="P180" s="168"/>
      <c r="Q180" s="168"/>
      <c r="R180" s="168"/>
      <c r="S180" s="168"/>
      <c r="T180" s="168"/>
      <c r="U180" s="168"/>
      <c r="V180" s="168"/>
      <c r="W180" s="168"/>
      <c r="X180" s="168"/>
      <c r="Y180" s="168"/>
      <c r="Z180" s="168"/>
      <c r="AA180" s="168"/>
      <c r="AB180" s="168"/>
      <c r="AC180" s="168"/>
      <c r="AD180" s="168"/>
      <c r="AE180" s="168"/>
      <c r="AF180" s="168"/>
      <c r="AG180" s="168"/>
      <c r="AH180" s="193"/>
      <c r="AI180" s="168"/>
      <c r="AJ180" s="176"/>
      <c r="AK180" s="176"/>
      <c r="AL180" s="193" t="e">
        <f t="shared" ref="AL180:AR180" si="39">AL216+AL192/1000</f>
        <v>#N/A</v>
      </c>
      <c r="AM180" s="193" t="e">
        <f t="shared" si="39"/>
        <v>#N/A</v>
      </c>
      <c r="AN180" s="193" t="e">
        <f t="shared" si="39"/>
        <v>#N/A</v>
      </c>
      <c r="AO180" s="193" t="e">
        <f t="shared" si="39"/>
        <v>#N/A</v>
      </c>
      <c r="AP180" s="193" t="e">
        <f t="shared" si="39"/>
        <v>#N/A</v>
      </c>
      <c r="AQ180" s="193" t="e">
        <f t="shared" si="39"/>
        <v>#N/A</v>
      </c>
      <c r="AR180" s="193" t="e">
        <f t="shared" si="39"/>
        <v>#N/A</v>
      </c>
    </row>
    <row r="181" spans="2:44" s="150" customFormat="1">
      <c r="B181" s="156" t="s">
        <v>9</v>
      </c>
      <c r="C181" s="185" t="s">
        <v>282</v>
      </c>
      <c r="D181" s="167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94"/>
      <c r="AI181" s="167"/>
      <c r="AJ181" s="178"/>
      <c r="AK181" s="178"/>
      <c r="AL181" s="194">
        <f>AL205+AL193/1000</f>
        <v>168.85135902837558</v>
      </c>
      <c r="AM181" s="194">
        <f>AM205+AM193/1000</f>
        <v>160.85135902837558</v>
      </c>
      <c r="AN181" s="194">
        <f>AN205+AN193/1000</f>
        <v>152.85135902837558</v>
      </c>
      <c r="AO181" s="194">
        <f t="shared" ref="AO181:AR181" si="40">AO205+AO193/1000</f>
        <v>143.85135902837558</v>
      </c>
      <c r="AP181" s="194">
        <f t="shared" si="40"/>
        <v>135.85135902837558</v>
      </c>
      <c r="AQ181" s="194">
        <f t="shared" si="40"/>
        <v>128.85135902837555</v>
      </c>
      <c r="AR181" s="194">
        <f t="shared" si="40"/>
        <v>121.85135902837557</v>
      </c>
    </row>
    <row r="182" spans="2:44" s="150" customFormat="1">
      <c r="B182" s="180" t="s">
        <v>10</v>
      </c>
      <c r="C182" s="183" t="s">
        <v>282</v>
      </c>
      <c r="D182" s="168"/>
      <c r="E182" s="168"/>
      <c r="F182" s="168"/>
      <c r="G182" s="168"/>
      <c r="H182" s="168"/>
      <c r="I182" s="168"/>
      <c r="J182" s="168"/>
      <c r="K182" s="168"/>
      <c r="L182" s="168"/>
      <c r="M182" s="168"/>
      <c r="N182" s="168"/>
      <c r="O182" s="168"/>
      <c r="P182" s="168"/>
      <c r="Q182" s="168"/>
      <c r="R182" s="168"/>
      <c r="S182" s="168"/>
      <c r="T182" s="168"/>
      <c r="U182" s="168"/>
      <c r="V182" s="168"/>
      <c r="W182" s="168"/>
      <c r="X182" s="168"/>
      <c r="Y182" s="168"/>
      <c r="Z182" s="168"/>
      <c r="AA182" s="168"/>
      <c r="AB182" s="168"/>
      <c r="AC182" s="168"/>
      <c r="AD182" s="168"/>
      <c r="AE182" s="168"/>
      <c r="AF182" s="168"/>
      <c r="AG182" s="168"/>
      <c r="AH182" s="193"/>
      <c r="AI182" s="168"/>
      <c r="AJ182" s="176"/>
      <c r="AK182" s="176"/>
      <c r="AL182" s="193">
        <f t="shared" ref="AL182:AM185" si="41">AL206+AL194/1000</f>
        <v>95.785339132491472</v>
      </c>
      <c r="AM182" s="193">
        <f t="shared" si="41"/>
        <v>90.785339132491472</v>
      </c>
      <c r="AN182" s="193">
        <f t="shared" ref="AN182:AR182" si="42">AN206+AN194/1000</f>
        <v>85.785339132491472</v>
      </c>
      <c r="AO182" s="193">
        <f t="shared" si="42"/>
        <v>80.785339132491472</v>
      </c>
      <c r="AP182" s="193">
        <f t="shared" si="42"/>
        <v>75.785339132491472</v>
      </c>
      <c r="AQ182" s="193">
        <f t="shared" si="42"/>
        <v>70.785339132491472</v>
      </c>
      <c r="AR182" s="193">
        <f t="shared" si="42"/>
        <v>65.785339132491472</v>
      </c>
    </row>
    <row r="183" spans="2:44" s="150" customFormat="1">
      <c r="B183" s="156" t="s">
        <v>14</v>
      </c>
      <c r="C183" s="185" t="s">
        <v>282</v>
      </c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  <c r="S183" s="173"/>
      <c r="T183" s="173"/>
      <c r="U183" s="173"/>
      <c r="V183" s="173"/>
      <c r="W183" s="173"/>
      <c r="X183" s="173"/>
      <c r="Y183" s="173"/>
      <c r="Z183" s="173"/>
      <c r="AA183" s="173"/>
      <c r="AB183" s="173"/>
      <c r="AC183" s="173"/>
      <c r="AD183" s="173"/>
      <c r="AE183" s="173"/>
      <c r="AF183" s="173"/>
      <c r="AG183" s="173"/>
      <c r="AH183" s="194"/>
      <c r="AI183" s="173"/>
      <c r="AJ183" s="178"/>
      <c r="AK183" s="178"/>
      <c r="AL183" s="194">
        <f t="shared" si="41"/>
        <v>124.97133643667371</v>
      </c>
      <c r="AM183" s="194">
        <f t="shared" si="41"/>
        <v>119.97133643667371</v>
      </c>
      <c r="AN183" s="194">
        <f t="shared" ref="AN183:AR185" si="43">AN207+AN195/1000</f>
        <v>113.97133643667371</v>
      </c>
      <c r="AO183" s="194">
        <f t="shared" si="43"/>
        <v>108.97133643667371</v>
      </c>
      <c r="AP183" s="194">
        <f t="shared" si="43"/>
        <v>101.97133643667371</v>
      </c>
      <c r="AQ183" s="194">
        <f t="shared" si="43"/>
        <v>92.97133643667371</v>
      </c>
      <c r="AR183" s="194">
        <f t="shared" si="43"/>
        <v>81.97133643667371</v>
      </c>
    </row>
    <row r="184" spans="2:44" s="150" customFormat="1">
      <c r="B184" s="157" t="s">
        <v>15</v>
      </c>
      <c r="C184" s="183" t="s">
        <v>282</v>
      </c>
      <c r="D184" s="168"/>
      <c r="E184" s="168"/>
      <c r="F184" s="168"/>
      <c r="G184" s="168"/>
      <c r="H184" s="168"/>
      <c r="I184" s="168"/>
      <c r="J184" s="168"/>
      <c r="K184" s="168"/>
      <c r="L184" s="168"/>
      <c r="M184" s="168"/>
      <c r="N184" s="168"/>
      <c r="O184" s="168"/>
      <c r="P184" s="168"/>
      <c r="Q184" s="168"/>
      <c r="R184" s="168"/>
      <c r="S184" s="168"/>
      <c r="T184" s="168"/>
      <c r="U184" s="168"/>
      <c r="V184" s="168"/>
      <c r="W184" s="168"/>
      <c r="X184" s="168"/>
      <c r="Y184" s="168"/>
      <c r="Z184" s="168"/>
      <c r="AA184" s="168"/>
      <c r="AB184" s="168"/>
      <c r="AC184" s="168"/>
      <c r="AD184" s="168"/>
      <c r="AE184" s="168"/>
      <c r="AF184" s="168"/>
      <c r="AG184" s="168"/>
      <c r="AH184" s="193"/>
      <c r="AI184" s="168"/>
      <c r="AJ184" s="176"/>
      <c r="AK184" s="176"/>
      <c r="AL184" s="193">
        <f t="shared" si="41"/>
        <v>66.991365198110543</v>
      </c>
      <c r="AM184" s="193">
        <f t="shared" si="41"/>
        <v>64.991365198110529</v>
      </c>
      <c r="AN184" s="193">
        <f t="shared" si="43"/>
        <v>63.991365198110529</v>
      </c>
      <c r="AO184" s="193">
        <f t="shared" si="43"/>
        <v>62.991365198110529</v>
      </c>
      <c r="AP184" s="193">
        <f t="shared" si="43"/>
        <v>60.991365198110529</v>
      </c>
      <c r="AQ184" s="193">
        <f t="shared" si="43"/>
        <v>58.991365198110529</v>
      </c>
      <c r="AR184" s="193">
        <f t="shared" si="43"/>
        <v>57.991365198110529</v>
      </c>
    </row>
    <row r="185" spans="2:44" s="150" customFormat="1">
      <c r="B185" s="156" t="s">
        <v>16</v>
      </c>
      <c r="C185" s="185" t="s">
        <v>282</v>
      </c>
      <c r="D185" s="167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94"/>
      <c r="AI185" s="167"/>
      <c r="AJ185" s="178"/>
      <c r="AK185" s="178"/>
      <c r="AL185" s="194">
        <f t="shared" si="41"/>
        <v>8.3365028454172894</v>
      </c>
      <c r="AM185" s="194">
        <f t="shared" si="41"/>
        <v>8.3365028454172894</v>
      </c>
      <c r="AN185" s="194">
        <f t="shared" si="43"/>
        <v>7.3365028454172894</v>
      </c>
      <c r="AO185" s="194">
        <f t="shared" si="43"/>
        <v>7.3365028454172894</v>
      </c>
      <c r="AP185" s="194">
        <f t="shared" si="43"/>
        <v>6.3365028454172894</v>
      </c>
      <c r="AQ185" s="194">
        <f t="shared" si="43"/>
        <v>6.3365028454172894</v>
      </c>
      <c r="AR185" s="194">
        <f t="shared" si="43"/>
        <v>5.3365028454172894</v>
      </c>
    </row>
    <row r="186" spans="2:44" s="150" customFormat="1">
      <c r="B186" s="157" t="s">
        <v>75</v>
      </c>
      <c r="C186" s="183" t="s">
        <v>282</v>
      </c>
      <c r="D186" s="168"/>
      <c r="E186" s="168"/>
      <c r="F186" s="168"/>
      <c r="G186" s="168"/>
      <c r="H186" s="168"/>
      <c r="I186" s="168"/>
      <c r="J186" s="168"/>
      <c r="K186" s="168"/>
      <c r="L186" s="168"/>
      <c r="M186" s="168"/>
      <c r="N186" s="168"/>
      <c r="O186" s="168"/>
      <c r="P186" s="168"/>
      <c r="Q186" s="168"/>
      <c r="R186" s="168"/>
      <c r="S186" s="168"/>
      <c r="T186" s="168"/>
      <c r="U186" s="168"/>
      <c r="V186" s="168"/>
      <c r="W186" s="168"/>
      <c r="X186" s="168"/>
      <c r="Y186" s="168"/>
      <c r="Z186" s="168"/>
      <c r="AA186" s="168"/>
      <c r="AB186" s="168"/>
      <c r="AC186" s="168"/>
      <c r="AD186" s="168"/>
      <c r="AE186" s="168"/>
      <c r="AF186" s="168"/>
      <c r="AG186" s="168"/>
      <c r="AH186" s="182"/>
      <c r="AI186" s="168"/>
      <c r="AJ186" s="182"/>
      <c r="AK186" s="182"/>
      <c r="AL186" s="182"/>
      <c r="AM186" s="182"/>
      <c r="AN186" s="182"/>
      <c r="AO186" s="182"/>
      <c r="AP186" s="182"/>
      <c r="AQ186" s="182"/>
      <c r="AR186" s="182"/>
    </row>
    <row r="187" spans="2:44" s="150" customFormat="1">
      <c r="B187" s="156" t="s">
        <v>8</v>
      </c>
      <c r="C187" s="160" t="s">
        <v>297</v>
      </c>
      <c r="D187" s="167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95"/>
      <c r="AI187" s="167"/>
      <c r="AJ187" s="195"/>
      <c r="AK187" s="167"/>
      <c r="AL187" s="194">
        <f>AL211+AL199/1000</f>
        <v>228.17576377234582</v>
      </c>
      <c r="AM187" s="194">
        <f>AM211+AM199/1000</f>
        <v>209.55076377234582</v>
      </c>
      <c r="AN187" s="194">
        <f>AN211+AN199/1000</f>
        <v>190.92576377234582</v>
      </c>
      <c r="AO187" s="194">
        <f t="shared" ref="AO187:AR187" si="44">AO211+AO199/1000</f>
        <v>172.30076377234582</v>
      </c>
      <c r="AP187" s="194">
        <f t="shared" si="44"/>
        <v>153.67576377234582</v>
      </c>
      <c r="AQ187" s="194">
        <f t="shared" si="44"/>
        <v>135.05076377234582</v>
      </c>
      <c r="AR187" s="194">
        <f t="shared" si="44"/>
        <v>116.4257637723458</v>
      </c>
    </row>
    <row r="188" spans="2:44" s="150" customFormat="1" ht="29.25" customHeight="1" thickBot="1">
      <c r="B188" s="154"/>
      <c r="C188" s="161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  <c r="AE188" s="149"/>
      <c r="AF188" s="149"/>
      <c r="AG188" s="149"/>
      <c r="AH188" s="209"/>
      <c r="AI188" s="210"/>
      <c r="AJ188" s="206"/>
      <c r="AK188" s="207"/>
      <c r="AL188" s="207"/>
      <c r="AM188" s="206" t="s">
        <v>103</v>
      </c>
      <c r="AN188" s="206" t="s">
        <v>103</v>
      </c>
      <c r="AO188" s="206" t="s">
        <v>103</v>
      </c>
      <c r="AP188" s="206" t="s">
        <v>103</v>
      </c>
      <c r="AQ188" s="206" t="s">
        <v>103</v>
      </c>
      <c r="AR188" s="206" t="s">
        <v>103</v>
      </c>
    </row>
    <row r="189" spans="2:44" s="150" customFormat="1">
      <c r="B189" s="174" t="s">
        <v>271</v>
      </c>
      <c r="C189" s="163"/>
      <c r="D189" s="166"/>
      <c r="E189" s="166"/>
      <c r="F189" s="166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U189" s="166"/>
      <c r="V189" s="166"/>
      <c r="W189" s="166"/>
      <c r="X189" s="166"/>
      <c r="Y189" s="166"/>
      <c r="Z189" s="166"/>
      <c r="AA189" s="166"/>
      <c r="AB189" s="166"/>
      <c r="AC189" s="166"/>
      <c r="AD189" s="166"/>
      <c r="AE189" s="166"/>
      <c r="AF189" s="166"/>
      <c r="AG189" s="166"/>
      <c r="AH189" s="166"/>
      <c r="AI189" s="166"/>
      <c r="AJ189" s="166"/>
      <c r="AK189" s="198" t="s">
        <v>41</v>
      </c>
      <c r="AL189" s="196" t="s">
        <v>259</v>
      </c>
      <c r="AM189" s="196"/>
      <c r="AN189" s="166"/>
      <c r="AO189" s="166"/>
      <c r="AP189" s="166"/>
      <c r="AQ189" s="166"/>
      <c r="AR189" s="166"/>
    </row>
    <row r="190" spans="2:44" s="150" customFormat="1">
      <c r="B190" s="151" t="s">
        <v>69</v>
      </c>
      <c r="C190" s="158"/>
      <c r="D190" s="155">
        <v>32874</v>
      </c>
      <c r="E190" s="155">
        <v>33239</v>
      </c>
      <c r="F190" s="155">
        <v>33604</v>
      </c>
      <c r="G190" s="155">
        <v>33970</v>
      </c>
      <c r="H190" s="155">
        <v>34335</v>
      </c>
      <c r="I190" s="155">
        <v>34700</v>
      </c>
      <c r="J190" s="155">
        <v>35065</v>
      </c>
      <c r="K190" s="155">
        <v>35431</v>
      </c>
      <c r="L190" s="155">
        <v>35796</v>
      </c>
      <c r="M190" s="155">
        <v>36161</v>
      </c>
      <c r="N190" s="155">
        <v>36526</v>
      </c>
      <c r="O190" s="155">
        <v>36892</v>
      </c>
      <c r="P190" s="155">
        <v>37257</v>
      </c>
      <c r="Q190" s="155">
        <v>37622</v>
      </c>
      <c r="R190" s="155">
        <v>37987</v>
      </c>
      <c r="S190" s="155">
        <v>38353</v>
      </c>
      <c r="T190" s="155">
        <v>38718</v>
      </c>
      <c r="U190" s="155">
        <v>39083</v>
      </c>
      <c r="V190" s="155">
        <v>39448</v>
      </c>
      <c r="W190" s="155">
        <v>39814</v>
      </c>
      <c r="X190" s="155">
        <v>40179</v>
      </c>
      <c r="Y190" s="155">
        <v>40544</v>
      </c>
      <c r="Z190" s="155">
        <v>40909</v>
      </c>
      <c r="AA190" s="155">
        <v>41275</v>
      </c>
      <c r="AB190" s="155">
        <v>41640</v>
      </c>
      <c r="AC190" s="155">
        <v>42005</v>
      </c>
      <c r="AD190" s="155">
        <v>42370</v>
      </c>
      <c r="AE190" s="155">
        <v>42736</v>
      </c>
      <c r="AF190" s="155">
        <v>43101</v>
      </c>
      <c r="AG190" s="155">
        <v>43466</v>
      </c>
      <c r="AH190" s="155">
        <v>43831</v>
      </c>
      <c r="AI190" s="155">
        <v>44197</v>
      </c>
      <c r="AJ190" s="155">
        <v>44562</v>
      </c>
      <c r="AK190" s="175">
        <v>44927</v>
      </c>
      <c r="AL190" s="155">
        <v>45292</v>
      </c>
      <c r="AM190" s="155">
        <v>45658</v>
      </c>
      <c r="AN190" s="155">
        <v>46023</v>
      </c>
      <c r="AO190" s="155">
        <v>46388</v>
      </c>
      <c r="AP190" s="155">
        <v>46753</v>
      </c>
      <c r="AQ190" s="155">
        <v>47119</v>
      </c>
      <c r="AR190" s="155">
        <v>47484</v>
      </c>
    </row>
    <row r="191" spans="2:44" s="150" customFormat="1">
      <c r="B191" s="156" t="s">
        <v>278</v>
      </c>
      <c r="C191" s="185" t="s">
        <v>143</v>
      </c>
      <c r="D191" s="167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86"/>
      <c r="AI191" s="167"/>
      <c r="AJ191" s="167"/>
      <c r="AK191" s="199">
        <f>IF(AK$35&gt;0,(AK$35-AK203)*1000,0)</f>
        <v>-51939.299150092666</v>
      </c>
      <c r="AL191" s="201">
        <f>-$AK191/7</f>
        <v>7419.8998785846661</v>
      </c>
      <c r="AM191" s="201">
        <f t="shared" ref="AM191:AR191" si="45">-$AK191/7</f>
        <v>7419.8998785846661</v>
      </c>
      <c r="AN191" s="201">
        <f t="shared" si="45"/>
        <v>7419.8998785846661</v>
      </c>
      <c r="AO191" s="201">
        <f t="shared" si="45"/>
        <v>7419.8998785846661</v>
      </c>
      <c r="AP191" s="201">
        <f t="shared" si="45"/>
        <v>7419.8998785846661</v>
      </c>
      <c r="AQ191" s="201">
        <f t="shared" si="45"/>
        <v>7419.8998785846661</v>
      </c>
      <c r="AR191" s="201">
        <f t="shared" si="45"/>
        <v>7419.8998785846661</v>
      </c>
    </row>
    <row r="192" spans="2:44" s="150" customFormat="1">
      <c r="B192" s="157" t="s">
        <v>8</v>
      </c>
      <c r="C192" s="183" t="s">
        <v>143</v>
      </c>
      <c r="D192" s="168"/>
      <c r="E192" s="168"/>
      <c r="F192" s="168"/>
      <c r="G192" s="168"/>
      <c r="H192" s="168"/>
      <c r="I192" s="168"/>
      <c r="J192" s="168"/>
      <c r="K192" s="168"/>
      <c r="L192" s="168"/>
      <c r="M192" s="168"/>
      <c r="N192" s="168"/>
      <c r="O192" s="168"/>
      <c r="P192" s="168"/>
      <c r="Q192" s="168"/>
      <c r="R192" s="168"/>
      <c r="S192" s="168"/>
      <c r="T192" s="168"/>
      <c r="U192" s="168"/>
      <c r="V192" s="168"/>
      <c r="W192" s="168"/>
      <c r="X192" s="168"/>
      <c r="Y192" s="168"/>
      <c r="Z192" s="168"/>
      <c r="AA192" s="168"/>
      <c r="AB192" s="168"/>
      <c r="AC192" s="168"/>
      <c r="AD192" s="168"/>
      <c r="AE192" s="168"/>
      <c r="AF192" s="168"/>
      <c r="AG192" s="168"/>
      <c r="AH192" s="184"/>
      <c r="AI192" s="168"/>
      <c r="AJ192" s="168"/>
      <c r="AK192" s="199" t="e">
        <f>(AK36-AK216)*1000</f>
        <v>#N/A</v>
      </c>
      <c r="AL192" s="197" t="e">
        <v>#N/A</v>
      </c>
      <c r="AM192" s="171" t="e">
        <v>#N/A</v>
      </c>
      <c r="AN192" s="171" t="e">
        <v>#N/A</v>
      </c>
      <c r="AO192" s="171" t="e">
        <v>#N/A</v>
      </c>
      <c r="AP192" s="171" t="e">
        <v>#N/A</v>
      </c>
      <c r="AQ192" s="171" t="e">
        <v>#N/A</v>
      </c>
      <c r="AR192" s="171" t="e">
        <f>-$AK192/7</f>
        <v>#N/A</v>
      </c>
    </row>
    <row r="193" spans="2:44" s="150" customFormat="1">
      <c r="B193" s="156" t="s">
        <v>9</v>
      </c>
      <c r="C193" s="185" t="s">
        <v>143</v>
      </c>
      <c r="D193" s="167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86"/>
      <c r="AI193" s="167"/>
      <c r="AJ193" s="167"/>
      <c r="AK193" s="199">
        <f>IF(AK$37&gt;0,(AK$37-AK205)*1000,0)</f>
        <v>-20061.667811637166</v>
      </c>
      <c r="AL193" s="201">
        <f>-$AK193/7</f>
        <v>2865.952544519595</v>
      </c>
      <c r="AM193" s="172">
        <f t="shared" ref="AM193:AR199" si="46">-$AK193/7</f>
        <v>2865.952544519595</v>
      </c>
      <c r="AN193" s="172">
        <f t="shared" si="46"/>
        <v>2865.952544519595</v>
      </c>
      <c r="AO193" s="172">
        <f t="shared" si="46"/>
        <v>2865.952544519595</v>
      </c>
      <c r="AP193" s="172">
        <f t="shared" si="46"/>
        <v>2865.952544519595</v>
      </c>
      <c r="AQ193" s="172">
        <f t="shared" si="46"/>
        <v>2865.952544519595</v>
      </c>
      <c r="AR193" s="172">
        <f t="shared" si="46"/>
        <v>2865.952544519595</v>
      </c>
    </row>
    <row r="194" spans="2:44" s="150" customFormat="1">
      <c r="B194" s="180" t="s">
        <v>10</v>
      </c>
      <c r="C194" s="183" t="s">
        <v>143</v>
      </c>
      <c r="D194" s="168"/>
      <c r="E194" s="168"/>
      <c r="F194" s="168"/>
      <c r="G194" s="168"/>
      <c r="H194" s="168"/>
      <c r="I194" s="168"/>
      <c r="J194" s="168"/>
      <c r="K194" s="168"/>
      <c r="L194" s="168"/>
      <c r="M194" s="168"/>
      <c r="N194" s="168"/>
      <c r="O194" s="168"/>
      <c r="P194" s="168"/>
      <c r="Q194" s="168"/>
      <c r="R194" s="168"/>
      <c r="S194" s="168"/>
      <c r="T194" s="168"/>
      <c r="U194" s="168"/>
      <c r="V194" s="168"/>
      <c r="W194" s="168"/>
      <c r="X194" s="168"/>
      <c r="Y194" s="168"/>
      <c r="Z194" s="168"/>
      <c r="AA194" s="168"/>
      <c r="AB194" s="168"/>
      <c r="AC194" s="168"/>
      <c r="AD194" s="168"/>
      <c r="AE194" s="168"/>
      <c r="AF194" s="168"/>
      <c r="AG194" s="168"/>
      <c r="AH194" s="184"/>
      <c r="AI194" s="168"/>
      <c r="AJ194" s="168"/>
      <c r="AK194" s="199">
        <f>IF(AK$38&gt;0,(AK$38-AK206)*1000,0)</f>
        <v>1879.2034329364355</v>
      </c>
      <c r="AL194" s="197">
        <f t="shared" ref="AL194:AL197" si="47">-$AK194/7</f>
        <v>-268.45763327663366</v>
      </c>
      <c r="AM194" s="171">
        <f t="shared" si="46"/>
        <v>-268.45763327663366</v>
      </c>
      <c r="AN194" s="171">
        <f t="shared" si="46"/>
        <v>-268.45763327663366</v>
      </c>
      <c r="AO194" s="171">
        <f t="shared" si="46"/>
        <v>-268.45763327663366</v>
      </c>
      <c r="AP194" s="171">
        <f t="shared" si="46"/>
        <v>-268.45763327663366</v>
      </c>
      <c r="AQ194" s="171">
        <f t="shared" si="46"/>
        <v>-268.45763327663366</v>
      </c>
      <c r="AR194" s="171">
        <f t="shared" si="46"/>
        <v>-268.45763327663366</v>
      </c>
    </row>
    <row r="195" spans="2:44" s="150" customFormat="1">
      <c r="B195" s="156" t="s">
        <v>14</v>
      </c>
      <c r="C195" s="185" t="s">
        <v>143</v>
      </c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  <c r="R195" s="173"/>
      <c r="S195" s="173"/>
      <c r="T195" s="173"/>
      <c r="U195" s="173"/>
      <c r="V195" s="173"/>
      <c r="W195" s="173"/>
      <c r="X195" s="173"/>
      <c r="Y195" s="173"/>
      <c r="Z195" s="173"/>
      <c r="AA195" s="173"/>
      <c r="AB195" s="173"/>
      <c r="AC195" s="173"/>
      <c r="AD195" s="173"/>
      <c r="AE195" s="173"/>
      <c r="AF195" s="173"/>
      <c r="AG195" s="173"/>
      <c r="AH195" s="186"/>
      <c r="AI195" s="173"/>
      <c r="AJ195" s="173"/>
      <c r="AK195" s="199">
        <f>IF(AK$39&gt;0,(AK$39-AK207)*1000,0)</f>
        <v>12389.844417871813</v>
      </c>
      <c r="AL195" s="201">
        <f>-$AK195/7</f>
        <v>-1769.9777739816875</v>
      </c>
      <c r="AM195" s="172">
        <f t="shared" si="46"/>
        <v>-1769.9777739816875</v>
      </c>
      <c r="AN195" s="172">
        <f t="shared" si="46"/>
        <v>-1769.9777739816875</v>
      </c>
      <c r="AO195" s="172">
        <f t="shared" si="46"/>
        <v>-1769.9777739816875</v>
      </c>
      <c r="AP195" s="172">
        <f t="shared" si="46"/>
        <v>-1769.9777739816875</v>
      </c>
      <c r="AQ195" s="172">
        <f t="shared" si="46"/>
        <v>-1769.9777739816875</v>
      </c>
      <c r="AR195" s="172">
        <f t="shared" si="46"/>
        <v>-1769.9777739816875</v>
      </c>
    </row>
    <row r="196" spans="2:44" s="150" customFormat="1">
      <c r="B196" s="157" t="s">
        <v>15</v>
      </c>
      <c r="C196" s="183" t="s">
        <v>143</v>
      </c>
      <c r="D196" s="168"/>
      <c r="E196" s="168"/>
      <c r="F196" s="168"/>
      <c r="G196" s="168"/>
      <c r="H196" s="168"/>
      <c r="I196" s="168"/>
      <c r="J196" s="168"/>
      <c r="K196" s="168"/>
      <c r="L196" s="168"/>
      <c r="M196" s="168"/>
      <c r="N196" s="168"/>
      <c r="O196" s="168"/>
      <c r="P196" s="168"/>
      <c r="Q196" s="168"/>
      <c r="R196" s="168"/>
      <c r="S196" s="168"/>
      <c r="T196" s="168"/>
      <c r="U196" s="168"/>
      <c r="V196" s="168"/>
      <c r="W196" s="168"/>
      <c r="X196" s="168"/>
      <c r="Y196" s="168"/>
      <c r="Z196" s="168"/>
      <c r="AA196" s="168"/>
      <c r="AB196" s="168"/>
      <c r="AC196" s="168"/>
      <c r="AD196" s="168"/>
      <c r="AE196" s="168"/>
      <c r="AF196" s="168"/>
      <c r="AG196" s="168"/>
      <c r="AH196" s="184"/>
      <c r="AI196" s="168"/>
      <c r="AJ196" s="168"/>
      <c r="AK196" s="199">
        <f>IF(AK$40&gt;0,(AK$40-AK208)*1000,0)</f>
        <v>-4402.4561957357946</v>
      </c>
      <c r="AL196" s="197">
        <f t="shared" si="47"/>
        <v>628.9223136765421</v>
      </c>
      <c r="AM196" s="171">
        <f t="shared" si="46"/>
        <v>628.9223136765421</v>
      </c>
      <c r="AN196" s="171">
        <f t="shared" si="46"/>
        <v>628.9223136765421</v>
      </c>
      <c r="AO196" s="171">
        <f t="shared" si="46"/>
        <v>628.9223136765421</v>
      </c>
      <c r="AP196" s="171">
        <f t="shared" si="46"/>
        <v>628.9223136765421</v>
      </c>
      <c r="AQ196" s="171">
        <f t="shared" si="46"/>
        <v>628.9223136765421</v>
      </c>
      <c r="AR196" s="171">
        <f t="shared" si="46"/>
        <v>628.9223136765421</v>
      </c>
    </row>
    <row r="197" spans="2:44" s="150" customFormat="1">
      <c r="B197" s="156" t="s">
        <v>16</v>
      </c>
      <c r="C197" s="185" t="s">
        <v>143</v>
      </c>
      <c r="D197" s="167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86"/>
      <c r="AI197" s="167"/>
      <c r="AJ197" s="167"/>
      <c r="AK197" s="199">
        <f>IF(AK$41&gt;0,(AK$41-AK209)*1000,0)</f>
        <v>-3365.6696128424855</v>
      </c>
      <c r="AL197" s="172">
        <f t="shared" si="47"/>
        <v>480.80994469178364</v>
      </c>
      <c r="AM197" s="172">
        <f t="shared" si="46"/>
        <v>480.80994469178364</v>
      </c>
      <c r="AN197" s="172">
        <f t="shared" si="46"/>
        <v>480.80994469178364</v>
      </c>
      <c r="AO197" s="172">
        <f t="shared" si="46"/>
        <v>480.80994469178364</v>
      </c>
      <c r="AP197" s="172">
        <f t="shared" si="46"/>
        <v>480.80994469178364</v>
      </c>
      <c r="AQ197" s="172">
        <f t="shared" si="46"/>
        <v>480.80994469178364</v>
      </c>
      <c r="AR197" s="172">
        <f t="shared" si="46"/>
        <v>480.80994469178364</v>
      </c>
    </row>
    <row r="198" spans="2:44" s="150" customFormat="1">
      <c r="B198" s="157" t="s">
        <v>75</v>
      </c>
      <c r="C198" s="183" t="s">
        <v>143</v>
      </c>
      <c r="D198" s="168"/>
      <c r="E198" s="168"/>
      <c r="F198" s="168"/>
      <c r="G198" s="168"/>
      <c r="H198" s="168"/>
      <c r="I198" s="168"/>
      <c r="J198" s="168"/>
      <c r="K198" s="168"/>
      <c r="L198" s="168"/>
      <c r="M198" s="168"/>
      <c r="N198" s="168"/>
      <c r="O198" s="168"/>
      <c r="P198" s="168"/>
      <c r="Q198" s="168"/>
      <c r="R198" s="168"/>
      <c r="S198" s="168"/>
      <c r="T198" s="168"/>
      <c r="U198" s="168"/>
      <c r="V198" s="168"/>
      <c r="W198" s="168"/>
      <c r="X198" s="168"/>
      <c r="Y198" s="168"/>
      <c r="Z198" s="168"/>
      <c r="AA198" s="168"/>
      <c r="AB198" s="168"/>
      <c r="AC198" s="168"/>
      <c r="AD198" s="168"/>
      <c r="AE198" s="168"/>
      <c r="AF198" s="168"/>
      <c r="AG198" s="168"/>
      <c r="AH198" s="168"/>
      <c r="AI198" s="168"/>
      <c r="AJ198" s="168"/>
      <c r="AK198" s="181"/>
      <c r="AL198" s="168"/>
      <c r="AM198" s="168"/>
      <c r="AN198" s="168"/>
      <c r="AO198" s="168"/>
      <c r="AP198" s="168"/>
      <c r="AQ198" s="168"/>
      <c r="AR198" s="168"/>
    </row>
    <row r="199" spans="2:44" s="150" customFormat="1" ht="15.75" thickBot="1">
      <c r="B199" s="156" t="s">
        <v>8</v>
      </c>
      <c r="C199" s="160" t="s">
        <v>297</v>
      </c>
      <c r="D199" s="167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200">
        <f>IF(AK$36&gt;0,(AK$36-AK211)*1000,0)</f>
        <v>-38691.053380685502</v>
      </c>
      <c r="AL199" s="201">
        <f>-$AK199/7</f>
        <v>5527.2933400979291</v>
      </c>
      <c r="AM199" s="172">
        <f t="shared" si="46"/>
        <v>5527.2933400979291</v>
      </c>
      <c r="AN199" s="172">
        <f t="shared" si="46"/>
        <v>5527.2933400979291</v>
      </c>
      <c r="AO199" s="172">
        <f t="shared" si="46"/>
        <v>5527.2933400979291</v>
      </c>
      <c r="AP199" s="172">
        <f t="shared" si="46"/>
        <v>5527.2933400979291</v>
      </c>
      <c r="AQ199" s="172">
        <f t="shared" si="46"/>
        <v>5527.2933400979291</v>
      </c>
      <c r="AR199" s="172">
        <f t="shared" si="46"/>
        <v>5527.2933400979291</v>
      </c>
    </row>
    <row r="200" spans="2:44" s="150" customFormat="1">
      <c r="B200" s="152"/>
      <c r="C200" s="163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  <c r="W200" s="166"/>
      <c r="X200" s="166"/>
      <c r="Y200" s="166"/>
      <c r="Z200" s="166"/>
      <c r="AA200" s="166"/>
      <c r="AB200" s="166"/>
      <c r="AC200" s="166"/>
      <c r="AD200" s="166"/>
      <c r="AE200" s="166"/>
      <c r="AF200" s="166"/>
      <c r="AG200" s="166"/>
      <c r="AH200" s="166"/>
      <c r="AI200" s="166"/>
      <c r="AJ200" s="205"/>
      <c r="AK200" s="205"/>
      <c r="AL200" s="205" t="s">
        <v>103</v>
      </c>
      <c r="AM200" s="205" t="s">
        <v>103</v>
      </c>
      <c r="AN200" s="205" t="s">
        <v>103</v>
      </c>
      <c r="AO200" s="205" t="s">
        <v>103</v>
      </c>
      <c r="AP200" s="205" t="s">
        <v>103</v>
      </c>
      <c r="AQ200" s="205" t="s">
        <v>103</v>
      </c>
      <c r="AR200" s="205" t="s">
        <v>103</v>
      </c>
    </row>
    <row r="201" spans="2:44" s="150" customFormat="1">
      <c r="B201" s="174" t="s">
        <v>141</v>
      </c>
      <c r="C201" s="163"/>
      <c r="D201" s="166"/>
      <c r="E201" s="166"/>
      <c r="F201" s="166"/>
      <c r="G201" s="166"/>
      <c r="H201" s="166"/>
      <c r="I201" s="166"/>
      <c r="J201" s="166"/>
      <c r="K201" s="166"/>
      <c r="L201" s="166"/>
      <c r="M201" s="166"/>
      <c r="N201" s="166"/>
      <c r="O201" s="166"/>
      <c r="P201" s="166"/>
      <c r="Q201" s="166"/>
      <c r="R201" s="166"/>
      <c r="S201" s="166"/>
      <c r="T201" s="166"/>
      <c r="U201" s="166"/>
      <c r="V201" s="166"/>
      <c r="W201" s="166"/>
      <c r="X201" s="166"/>
      <c r="Y201" s="166"/>
      <c r="Z201" s="166"/>
      <c r="AA201" s="166"/>
      <c r="AB201" s="166"/>
      <c r="AC201" s="166"/>
      <c r="AD201" s="166"/>
      <c r="AE201" s="166"/>
      <c r="AF201" s="166"/>
      <c r="AG201" s="166"/>
      <c r="AH201" s="192"/>
      <c r="AJ201" s="196"/>
      <c r="AK201" s="166"/>
      <c r="AL201" s="166"/>
      <c r="AM201" s="166"/>
      <c r="AN201" s="166"/>
      <c r="AO201" s="166"/>
      <c r="AP201" s="166"/>
      <c r="AQ201" s="166"/>
      <c r="AR201" s="166"/>
    </row>
    <row r="202" spans="2:44" s="150" customFormat="1">
      <c r="B202" s="151" t="s">
        <v>69</v>
      </c>
      <c r="C202" s="158"/>
      <c r="D202" s="155">
        <v>32874</v>
      </c>
      <c r="E202" s="155">
        <v>33239</v>
      </c>
      <c r="F202" s="155">
        <v>33604</v>
      </c>
      <c r="G202" s="155">
        <v>33970</v>
      </c>
      <c r="H202" s="155">
        <v>34335</v>
      </c>
      <c r="I202" s="155">
        <v>34700</v>
      </c>
      <c r="J202" s="155">
        <v>35065</v>
      </c>
      <c r="K202" s="155">
        <v>35431</v>
      </c>
      <c r="L202" s="155">
        <v>35796</v>
      </c>
      <c r="M202" s="155">
        <v>36161</v>
      </c>
      <c r="N202" s="155">
        <v>36526</v>
      </c>
      <c r="O202" s="155">
        <v>36892</v>
      </c>
      <c r="P202" s="155">
        <v>37257</v>
      </c>
      <c r="Q202" s="155">
        <v>37622</v>
      </c>
      <c r="R202" s="155">
        <v>37987</v>
      </c>
      <c r="S202" s="155">
        <v>38353</v>
      </c>
      <c r="T202" s="155">
        <v>38718</v>
      </c>
      <c r="U202" s="155">
        <v>39083</v>
      </c>
      <c r="V202" s="155">
        <v>39448</v>
      </c>
      <c r="W202" s="155">
        <v>39814</v>
      </c>
      <c r="X202" s="155">
        <v>40179</v>
      </c>
      <c r="Y202" s="155">
        <v>40544</v>
      </c>
      <c r="Z202" s="155">
        <v>40909</v>
      </c>
      <c r="AA202" s="155">
        <v>41275</v>
      </c>
      <c r="AB202" s="155">
        <v>41640</v>
      </c>
      <c r="AC202" s="155">
        <v>42005</v>
      </c>
      <c r="AD202" s="155">
        <v>42370</v>
      </c>
      <c r="AE202" s="155">
        <v>42736</v>
      </c>
      <c r="AF202" s="155">
        <v>43101</v>
      </c>
      <c r="AG202" s="155">
        <v>43466</v>
      </c>
      <c r="AH202" s="208">
        <v>43831</v>
      </c>
      <c r="AI202" s="155">
        <v>44197</v>
      </c>
      <c r="AJ202" s="208">
        <v>44562</v>
      </c>
      <c r="AK202" s="155">
        <v>44927</v>
      </c>
      <c r="AL202" s="155">
        <v>45292</v>
      </c>
      <c r="AM202" s="155">
        <v>45658</v>
      </c>
      <c r="AN202" s="155">
        <v>46023</v>
      </c>
      <c r="AO202" s="155">
        <v>46388</v>
      </c>
      <c r="AP202" s="155">
        <v>46753</v>
      </c>
      <c r="AQ202" s="155">
        <v>47119</v>
      </c>
      <c r="AR202" s="155">
        <v>47484</v>
      </c>
    </row>
    <row r="203" spans="2:44" s="150" customFormat="1">
      <c r="B203" s="156" t="s">
        <v>278</v>
      </c>
      <c r="C203" s="185" t="s">
        <v>288</v>
      </c>
      <c r="D203" s="167"/>
      <c r="E203" s="167"/>
      <c r="F203" s="167"/>
      <c r="G203" s="167"/>
      <c r="H203" s="167"/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7"/>
      <c r="U203" s="167"/>
      <c r="V203" s="167"/>
      <c r="W203" s="167"/>
      <c r="X203" s="167"/>
      <c r="Y203" s="167"/>
      <c r="Z203" s="167"/>
      <c r="AA203" s="167"/>
      <c r="AB203" s="167"/>
      <c r="AC203" s="167"/>
      <c r="AD203" s="167"/>
      <c r="AE203" s="167"/>
      <c r="AF203" s="167"/>
      <c r="AG203" s="167"/>
      <c r="AH203" s="194"/>
      <c r="AI203" s="167"/>
      <c r="AJ203" s="178"/>
      <c r="AK203" s="172">
        <f t="shared" ref="AK203:AR209" si="48">AK227+AK215/1000</f>
        <v>723.95962367768686</v>
      </c>
      <c r="AL203" s="172">
        <f t="shared" si="48"/>
        <v>685.95962367768686</v>
      </c>
      <c r="AM203" s="172">
        <f t="shared" si="48"/>
        <v>646.95962367768686</v>
      </c>
      <c r="AN203" s="172">
        <f t="shared" si="48"/>
        <v>607.95962367768686</v>
      </c>
      <c r="AO203" s="172">
        <f t="shared" si="48"/>
        <v>568.95962367768686</v>
      </c>
      <c r="AP203" s="172">
        <f t="shared" si="48"/>
        <v>526.95962367768686</v>
      </c>
      <c r="AQ203" s="172">
        <f t="shared" si="48"/>
        <v>485.95962367768686</v>
      </c>
      <c r="AR203" s="172">
        <f t="shared" si="48"/>
        <v>441.95962367768686</v>
      </c>
    </row>
    <row r="204" spans="2:44" s="150" customFormat="1">
      <c r="B204" s="180" t="s">
        <v>8</v>
      </c>
      <c r="C204" s="183" t="s">
        <v>281</v>
      </c>
      <c r="D204" s="168"/>
      <c r="E204" s="168"/>
      <c r="F204" s="168"/>
      <c r="G204" s="168"/>
      <c r="H204" s="168"/>
      <c r="I204" s="168"/>
      <c r="J204" s="168"/>
      <c r="K204" s="168"/>
      <c r="L204" s="168"/>
      <c r="M204" s="168"/>
      <c r="N204" s="168"/>
      <c r="O204" s="168"/>
      <c r="P204" s="168"/>
      <c r="Q204" s="168"/>
      <c r="R204" s="168"/>
      <c r="S204" s="168"/>
      <c r="T204" s="168"/>
      <c r="U204" s="168"/>
      <c r="V204" s="168"/>
      <c r="W204" s="168"/>
      <c r="X204" s="168"/>
      <c r="Y204" s="168"/>
      <c r="Z204" s="168"/>
      <c r="AA204" s="168"/>
      <c r="AB204" s="168"/>
      <c r="AC204" s="168"/>
      <c r="AD204" s="168"/>
      <c r="AE204" s="168"/>
      <c r="AF204" s="168"/>
      <c r="AG204" s="168"/>
      <c r="AH204" s="193"/>
      <c r="AI204" s="168"/>
      <c r="AJ204" s="176"/>
      <c r="AK204" s="171" t="e">
        <f t="shared" si="48"/>
        <v>#N/A</v>
      </c>
      <c r="AL204" s="171" t="e">
        <f t="shared" si="48"/>
        <v>#N/A</v>
      </c>
      <c r="AM204" s="171" t="e">
        <f t="shared" si="48"/>
        <v>#N/A</v>
      </c>
      <c r="AN204" s="171" t="e">
        <f t="shared" si="48"/>
        <v>#N/A</v>
      </c>
      <c r="AO204" s="171" t="e">
        <f t="shared" si="48"/>
        <v>#N/A</v>
      </c>
      <c r="AP204" s="171" t="e">
        <f t="shared" si="48"/>
        <v>#N/A</v>
      </c>
      <c r="AQ204" s="171" t="e">
        <f t="shared" si="48"/>
        <v>#N/A</v>
      </c>
      <c r="AR204" s="171">
        <f t="shared" si="48"/>
        <v>107.9776140872485</v>
      </c>
    </row>
    <row r="205" spans="2:44" s="150" customFormat="1">
      <c r="B205" s="156" t="s">
        <v>9</v>
      </c>
      <c r="C205" s="185" t="s">
        <v>281</v>
      </c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  <c r="R205" s="173"/>
      <c r="S205" s="173"/>
      <c r="T205" s="173"/>
      <c r="U205" s="173"/>
      <c r="V205" s="173"/>
      <c r="W205" s="173"/>
      <c r="X205" s="173"/>
      <c r="Y205" s="173"/>
      <c r="Z205" s="173"/>
      <c r="AA205" s="173"/>
      <c r="AB205" s="173"/>
      <c r="AC205" s="173"/>
      <c r="AD205" s="173"/>
      <c r="AE205" s="173"/>
      <c r="AF205" s="173"/>
      <c r="AG205" s="173"/>
      <c r="AH205" s="194"/>
      <c r="AI205" s="173"/>
      <c r="AJ205" s="178"/>
      <c r="AK205" s="172">
        <f t="shared" si="48"/>
        <v>172.985406483856</v>
      </c>
      <c r="AL205" s="172">
        <f t="shared" si="48"/>
        <v>165.985406483856</v>
      </c>
      <c r="AM205" s="172">
        <f t="shared" si="48"/>
        <v>157.985406483856</v>
      </c>
      <c r="AN205" s="172">
        <f t="shared" si="48"/>
        <v>149.985406483856</v>
      </c>
      <c r="AO205" s="172">
        <f t="shared" si="48"/>
        <v>140.985406483856</v>
      </c>
      <c r="AP205" s="172">
        <f t="shared" si="48"/>
        <v>132.985406483856</v>
      </c>
      <c r="AQ205" s="172">
        <f t="shared" si="48"/>
        <v>125.98540648385597</v>
      </c>
      <c r="AR205" s="172">
        <f t="shared" si="48"/>
        <v>118.98540648385597</v>
      </c>
    </row>
    <row r="206" spans="2:44" s="150" customFormat="1">
      <c r="B206" s="157" t="s">
        <v>10</v>
      </c>
      <c r="C206" s="183" t="s">
        <v>281</v>
      </c>
      <c r="D206" s="168"/>
      <c r="E206" s="168"/>
      <c r="F206" s="168"/>
      <c r="G206" s="168"/>
      <c r="H206" s="168"/>
      <c r="I206" s="168"/>
      <c r="J206" s="168"/>
      <c r="K206" s="168"/>
      <c r="L206" s="168"/>
      <c r="M206" s="168"/>
      <c r="N206" s="168"/>
      <c r="O206" s="168"/>
      <c r="P206" s="168"/>
      <c r="Q206" s="168"/>
      <c r="R206" s="168"/>
      <c r="S206" s="168"/>
      <c r="T206" s="168"/>
      <c r="U206" s="168"/>
      <c r="V206" s="168"/>
      <c r="W206" s="168"/>
      <c r="X206" s="168"/>
      <c r="Y206" s="168"/>
      <c r="Z206" s="168"/>
      <c r="AA206" s="168"/>
      <c r="AB206" s="168"/>
      <c r="AC206" s="168"/>
      <c r="AD206" s="168"/>
      <c r="AE206" s="168"/>
      <c r="AF206" s="168"/>
      <c r="AG206" s="168"/>
      <c r="AH206" s="193"/>
      <c r="AI206" s="168"/>
      <c r="AJ206" s="176"/>
      <c r="AK206" s="171">
        <f t="shared" si="48"/>
        <v>101.05379676576811</v>
      </c>
      <c r="AL206" s="171">
        <f t="shared" si="48"/>
        <v>96.053796765768112</v>
      </c>
      <c r="AM206" s="171">
        <f t="shared" si="48"/>
        <v>91.053796765768112</v>
      </c>
      <c r="AN206" s="171">
        <f t="shared" si="48"/>
        <v>86.053796765768112</v>
      </c>
      <c r="AO206" s="171">
        <f t="shared" si="48"/>
        <v>81.053796765768112</v>
      </c>
      <c r="AP206" s="171">
        <f t="shared" si="48"/>
        <v>76.053796765768112</v>
      </c>
      <c r="AQ206" s="171">
        <f t="shared" si="48"/>
        <v>71.053796765768112</v>
      </c>
      <c r="AR206" s="171">
        <f t="shared" si="48"/>
        <v>66.053796765768112</v>
      </c>
    </row>
    <row r="207" spans="2:44" s="150" customFormat="1">
      <c r="B207" s="156" t="s">
        <v>14</v>
      </c>
      <c r="C207" s="185" t="s">
        <v>281</v>
      </c>
      <c r="D207" s="167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94"/>
      <c r="AI207" s="167"/>
      <c r="AJ207" s="178"/>
      <c r="AK207" s="172">
        <f t="shared" si="48"/>
        <v>132.74131421065542</v>
      </c>
      <c r="AL207" s="172">
        <f t="shared" si="48"/>
        <v>126.7413142106554</v>
      </c>
      <c r="AM207" s="172">
        <f t="shared" si="48"/>
        <v>121.7413142106554</v>
      </c>
      <c r="AN207" s="172">
        <f t="shared" si="48"/>
        <v>115.7413142106554</v>
      </c>
      <c r="AO207" s="172">
        <f t="shared" si="48"/>
        <v>110.7413142106554</v>
      </c>
      <c r="AP207" s="172">
        <f t="shared" si="48"/>
        <v>103.7413142106554</v>
      </c>
      <c r="AQ207" s="172">
        <f t="shared" si="48"/>
        <v>94.741314210655403</v>
      </c>
      <c r="AR207" s="172">
        <f t="shared" si="48"/>
        <v>83.741314210655403</v>
      </c>
    </row>
    <row r="208" spans="2:44" s="150" customFormat="1">
      <c r="B208" s="157" t="s">
        <v>15</v>
      </c>
      <c r="C208" s="183" t="s">
        <v>281</v>
      </c>
      <c r="D208" s="168"/>
      <c r="E208" s="168"/>
      <c r="F208" s="168"/>
      <c r="G208" s="168"/>
      <c r="H208" s="168"/>
      <c r="I208" s="168"/>
      <c r="J208" s="168"/>
      <c r="K208" s="168"/>
      <c r="L208" s="168"/>
      <c r="M208" s="168"/>
      <c r="N208" s="168"/>
      <c r="O208" s="168"/>
      <c r="P208" s="168"/>
      <c r="Q208" s="168"/>
      <c r="R208" s="168"/>
      <c r="S208" s="168"/>
      <c r="T208" s="168"/>
      <c r="U208" s="168"/>
      <c r="V208" s="168"/>
      <c r="W208" s="168"/>
      <c r="X208" s="168"/>
      <c r="Y208" s="168"/>
      <c r="Z208" s="168"/>
      <c r="AA208" s="168"/>
      <c r="AB208" s="168"/>
      <c r="AC208" s="168"/>
      <c r="AD208" s="168"/>
      <c r="AE208" s="168"/>
      <c r="AF208" s="168"/>
      <c r="AG208" s="168"/>
      <c r="AH208" s="182"/>
      <c r="AI208" s="168"/>
      <c r="AJ208" s="182"/>
      <c r="AK208" s="168">
        <f t="shared" si="48"/>
        <v>67.362442884434003</v>
      </c>
      <c r="AL208" s="168">
        <f t="shared" si="48"/>
        <v>66.362442884434003</v>
      </c>
      <c r="AM208" s="168">
        <f t="shared" si="48"/>
        <v>64.362442884433989</v>
      </c>
      <c r="AN208" s="168">
        <f t="shared" si="48"/>
        <v>63.362442884433989</v>
      </c>
      <c r="AO208" s="168">
        <f t="shared" si="48"/>
        <v>62.362442884433989</v>
      </c>
      <c r="AP208" s="168">
        <f t="shared" si="48"/>
        <v>60.362442884433989</v>
      </c>
      <c r="AQ208" s="168">
        <f t="shared" si="48"/>
        <v>58.362442884433989</v>
      </c>
      <c r="AR208" s="168">
        <f t="shared" si="48"/>
        <v>57.362442884433989</v>
      </c>
    </row>
    <row r="209" spans="2:44" s="150" customFormat="1">
      <c r="B209" s="156" t="s">
        <v>16</v>
      </c>
      <c r="C209" s="185" t="s">
        <v>281</v>
      </c>
      <c r="D209" s="167"/>
      <c r="E209" s="167"/>
      <c r="F209" s="167"/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95"/>
      <c r="AI209" s="167"/>
      <c r="AJ209" s="195"/>
      <c r="AK209" s="167">
        <f t="shared" si="48"/>
        <v>8.8556929007255043</v>
      </c>
      <c r="AL209" s="167">
        <f t="shared" si="48"/>
        <v>7.8556929007255061</v>
      </c>
      <c r="AM209" s="167">
        <f t="shared" si="48"/>
        <v>7.8556929007255061</v>
      </c>
      <c r="AN209" s="167">
        <f t="shared" si="48"/>
        <v>6.8556929007255061</v>
      </c>
      <c r="AO209" s="167">
        <f t="shared" si="48"/>
        <v>6.8556929007255061</v>
      </c>
      <c r="AP209" s="167">
        <f t="shared" si="48"/>
        <v>5.8556929007255061</v>
      </c>
      <c r="AQ209" s="167">
        <f t="shared" si="48"/>
        <v>5.8556929007255061</v>
      </c>
      <c r="AR209" s="167">
        <f t="shared" si="48"/>
        <v>4.8556929007255061</v>
      </c>
    </row>
    <row r="210" spans="2:44" s="150" customFormat="1">
      <c r="B210" s="157" t="s">
        <v>75</v>
      </c>
      <c r="C210" s="183" t="s">
        <v>281</v>
      </c>
      <c r="D210" s="168"/>
      <c r="E210" s="168"/>
      <c r="F210" s="168"/>
      <c r="G210" s="168"/>
      <c r="H210" s="168"/>
      <c r="I210" s="168"/>
      <c r="J210" s="168"/>
      <c r="K210" s="168"/>
      <c r="L210" s="168"/>
      <c r="M210" s="168"/>
      <c r="N210" s="168"/>
      <c r="O210" s="168"/>
      <c r="P210" s="168"/>
      <c r="Q210" s="168"/>
      <c r="R210" s="168"/>
      <c r="S210" s="168"/>
      <c r="T210" s="168"/>
      <c r="U210" s="168"/>
      <c r="V210" s="168"/>
      <c r="W210" s="168"/>
      <c r="X210" s="168"/>
      <c r="Y210" s="168"/>
      <c r="Z210" s="168"/>
      <c r="AA210" s="168"/>
      <c r="AB210" s="168"/>
      <c r="AC210" s="168"/>
      <c r="AD210" s="168"/>
      <c r="AE210" s="168"/>
      <c r="AF210" s="168"/>
      <c r="AG210" s="168"/>
      <c r="AH210" s="182"/>
      <c r="AI210" s="168"/>
      <c r="AJ210" s="182"/>
      <c r="AK210" s="168"/>
      <c r="AL210" s="168"/>
      <c r="AM210" s="168"/>
      <c r="AN210" s="168"/>
      <c r="AO210" s="168"/>
      <c r="AP210" s="168"/>
      <c r="AQ210" s="168"/>
      <c r="AR210" s="168"/>
    </row>
    <row r="211" spans="2:44" s="150" customFormat="1">
      <c r="B211" s="156" t="s">
        <v>8</v>
      </c>
      <c r="C211" s="160" t="s">
        <v>297</v>
      </c>
      <c r="D211" s="167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95"/>
      <c r="AI211" s="167"/>
      <c r="AJ211" s="195"/>
      <c r="AK211" s="172">
        <f t="shared" ref="AK211:AR211" si="49">AK235+AK223/1000</f>
        <v>241.27347043224788</v>
      </c>
      <c r="AL211" s="172">
        <f t="shared" si="49"/>
        <v>222.64847043224788</v>
      </c>
      <c r="AM211" s="172">
        <f t="shared" si="49"/>
        <v>204.02347043224788</v>
      </c>
      <c r="AN211" s="172">
        <f t="shared" si="49"/>
        <v>185.39847043224788</v>
      </c>
      <c r="AO211" s="172">
        <f t="shared" si="49"/>
        <v>166.77347043224788</v>
      </c>
      <c r="AP211" s="172">
        <f t="shared" si="49"/>
        <v>148.14847043224788</v>
      </c>
      <c r="AQ211" s="172">
        <f t="shared" si="49"/>
        <v>129.52347043224788</v>
      </c>
      <c r="AR211" s="172">
        <f t="shared" si="49"/>
        <v>110.89847043224788</v>
      </c>
    </row>
    <row r="212" spans="2:44" s="150" customFormat="1" ht="15.75" thickBot="1">
      <c r="B212" s="152"/>
      <c r="C212" s="163"/>
      <c r="D212" s="166"/>
      <c r="E212" s="166"/>
      <c r="F212" s="166"/>
      <c r="G212" s="166"/>
      <c r="H212" s="166"/>
      <c r="I212" s="166"/>
      <c r="J212" s="166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  <c r="V212" s="166"/>
      <c r="W212" s="166"/>
      <c r="X212" s="166"/>
      <c r="Y212" s="166"/>
      <c r="Z212" s="166"/>
      <c r="AA212" s="166"/>
      <c r="AB212" s="166"/>
      <c r="AC212" s="166"/>
      <c r="AD212" s="166"/>
      <c r="AE212" s="166"/>
      <c r="AF212" s="166"/>
      <c r="AG212" s="166"/>
      <c r="AH212" s="166"/>
      <c r="AI212" s="166"/>
      <c r="AJ212" s="205"/>
      <c r="AK212" s="205" t="s">
        <v>103</v>
      </c>
      <c r="AL212" s="205" t="s">
        <v>103</v>
      </c>
      <c r="AM212" s="205" t="s">
        <v>103</v>
      </c>
      <c r="AN212" s="205" t="s">
        <v>103</v>
      </c>
      <c r="AO212" s="205" t="s">
        <v>103</v>
      </c>
      <c r="AP212" s="205" t="s">
        <v>103</v>
      </c>
      <c r="AQ212" s="205" t="s">
        <v>103</v>
      </c>
      <c r="AR212" s="205" t="s">
        <v>103</v>
      </c>
    </row>
    <row r="213" spans="2:44" s="150" customFormat="1">
      <c r="B213" s="174" t="s">
        <v>136</v>
      </c>
      <c r="C213" s="163"/>
      <c r="D213" s="166"/>
      <c r="E213" s="166"/>
      <c r="F213" s="166"/>
      <c r="G213" s="166"/>
      <c r="H213" s="166"/>
      <c r="I213" s="166"/>
      <c r="J213" s="166"/>
      <c r="K213" s="166"/>
      <c r="L213" s="166"/>
      <c r="M213" s="166"/>
      <c r="N213" s="166"/>
      <c r="O213" s="166"/>
      <c r="P213" s="166"/>
      <c r="Q213" s="166"/>
      <c r="R213" s="166"/>
      <c r="S213" s="166"/>
      <c r="T213" s="166"/>
      <c r="U213" s="166"/>
      <c r="V213" s="166"/>
      <c r="W213" s="166"/>
      <c r="X213" s="166"/>
      <c r="Y213" s="166"/>
      <c r="Z213" s="166"/>
      <c r="AA213" s="166"/>
      <c r="AB213" s="166"/>
      <c r="AC213" s="166"/>
      <c r="AD213" s="166"/>
      <c r="AE213" s="166"/>
      <c r="AF213" s="166"/>
      <c r="AG213" s="166"/>
      <c r="AH213" s="166"/>
      <c r="AJ213" s="198" t="s">
        <v>41</v>
      </c>
      <c r="AK213" s="196" t="s">
        <v>105</v>
      </c>
      <c r="AL213" s="166"/>
      <c r="AM213" s="166"/>
      <c r="AN213" s="166"/>
      <c r="AO213" s="166"/>
      <c r="AP213" s="166"/>
      <c r="AQ213" s="166"/>
      <c r="AR213" s="166"/>
    </row>
    <row r="214" spans="2:44" s="150" customFormat="1">
      <c r="B214" s="151" t="s">
        <v>69</v>
      </c>
      <c r="C214" s="158"/>
      <c r="D214" s="155">
        <v>32874</v>
      </c>
      <c r="E214" s="155">
        <v>33239</v>
      </c>
      <c r="F214" s="155">
        <v>33604</v>
      </c>
      <c r="G214" s="155">
        <v>33970</v>
      </c>
      <c r="H214" s="155">
        <v>34335</v>
      </c>
      <c r="I214" s="155">
        <v>34700</v>
      </c>
      <c r="J214" s="155">
        <v>35065</v>
      </c>
      <c r="K214" s="155">
        <v>35431</v>
      </c>
      <c r="L214" s="155">
        <v>35796</v>
      </c>
      <c r="M214" s="155">
        <v>36161</v>
      </c>
      <c r="N214" s="155">
        <v>36526</v>
      </c>
      <c r="O214" s="155">
        <v>36892</v>
      </c>
      <c r="P214" s="155">
        <v>37257</v>
      </c>
      <c r="Q214" s="155">
        <v>37622</v>
      </c>
      <c r="R214" s="155">
        <v>37987</v>
      </c>
      <c r="S214" s="155">
        <v>38353</v>
      </c>
      <c r="T214" s="155">
        <v>38718</v>
      </c>
      <c r="U214" s="155">
        <v>39083</v>
      </c>
      <c r="V214" s="155">
        <v>39448</v>
      </c>
      <c r="W214" s="155">
        <v>39814</v>
      </c>
      <c r="X214" s="155">
        <v>40179</v>
      </c>
      <c r="Y214" s="155">
        <v>40544</v>
      </c>
      <c r="Z214" s="155">
        <v>40909</v>
      </c>
      <c r="AA214" s="155">
        <v>41275</v>
      </c>
      <c r="AB214" s="155">
        <v>41640</v>
      </c>
      <c r="AC214" s="155">
        <v>42005</v>
      </c>
      <c r="AD214" s="155">
        <v>42370</v>
      </c>
      <c r="AE214" s="155">
        <v>42736</v>
      </c>
      <c r="AF214" s="155">
        <v>43101</v>
      </c>
      <c r="AG214" s="155">
        <v>43466</v>
      </c>
      <c r="AH214" s="155">
        <v>43831</v>
      </c>
      <c r="AI214" s="190">
        <v>44197</v>
      </c>
      <c r="AJ214" s="175">
        <v>44562</v>
      </c>
      <c r="AK214" s="191">
        <v>44927</v>
      </c>
      <c r="AL214" s="155">
        <v>45292</v>
      </c>
      <c r="AM214" s="155">
        <v>45658</v>
      </c>
      <c r="AN214" s="155">
        <v>46023</v>
      </c>
      <c r="AO214" s="155">
        <v>46388</v>
      </c>
      <c r="AP214" s="155">
        <v>46753</v>
      </c>
      <c r="AQ214" s="155">
        <v>47119</v>
      </c>
      <c r="AR214" s="155">
        <v>47484</v>
      </c>
    </row>
    <row r="215" spans="2:44" s="150" customFormat="1">
      <c r="B215" s="156" t="s">
        <v>278</v>
      </c>
      <c r="C215" s="185" t="s">
        <v>143</v>
      </c>
      <c r="D215" s="167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86"/>
      <c r="AI215" s="194"/>
      <c r="AJ215" s="199">
        <f>IF(AJ$35&gt;0,(AJ$35-AJ227)*1000,0)</f>
        <v>-8884.1080986867382</v>
      </c>
      <c r="AK215" s="201">
        <f>-$AJ215/8</f>
        <v>1110.5135123358423</v>
      </c>
      <c r="AL215" s="172">
        <f t="shared" ref="AL215:AR223" si="50">-$AJ215/8</f>
        <v>1110.5135123358423</v>
      </c>
      <c r="AM215" s="172">
        <f>-$AJ215/8</f>
        <v>1110.5135123358423</v>
      </c>
      <c r="AN215" s="172">
        <f t="shared" si="50"/>
        <v>1110.5135123358423</v>
      </c>
      <c r="AO215" s="172">
        <f t="shared" si="50"/>
        <v>1110.5135123358423</v>
      </c>
      <c r="AP215" s="172">
        <f t="shared" si="50"/>
        <v>1110.5135123358423</v>
      </c>
      <c r="AQ215" s="172">
        <f t="shared" si="50"/>
        <v>1110.5135123358423</v>
      </c>
      <c r="AR215" s="172">
        <f t="shared" si="50"/>
        <v>1110.5135123358423</v>
      </c>
    </row>
    <row r="216" spans="2:44" s="150" customFormat="1">
      <c r="B216" s="157" t="s">
        <v>8</v>
      </c>
      <c r="C216" s="183" t="s">
        <v>143</v>
      </c>
      <c r="D216" s="168"/>
      <c r="E216" s="168"/>
      <c r="F216" s="168"/>
      <c r="G216" s="168"/>
      <c r="H216" s="168"/>
      <c r="I216" s="168"/>
      <c r="J216" s="168"/>
      <c r="K216" s="168"/>
      <c r="L216" s="168"/>
      <c r="M216" s="168"/>
      <c r="N216" s="168"/>
      <c r="O216" s="168"/>
      <c r="P216" s="168"/>
      <c r="Q216" s="168"/>
      <c r="R216" s="168"/>
      <c r="S216" s="168"/>
      <c r="T216" s="168"/>
      <c r="U216" s="168"/>
      <c r="V216" s="168"/>
      <c r="W216" s="168"/>
      <c r="X216" s="168"/>
      <c r="Y216" s="168"/>
      <c r="Z216" s="168"/>
      <c r="AA216" s="168"/>
      <c r="AB216" s="168"/>
      <c r="AC216" s="168"/>
      <c r="AD216" s="168"/>
      <c r="AE216" s="168"/>
      <c r="AF216" s="168"/>
      <c r="AG216" s="168"/>
      <c r="AH216" s="184"/>
      <c r="AI216" s="193"/>
      <c r="AJ216" s="199">
        <f>(AJ36-AJ228)*1000</f>
        <v>179.08730201202161</v>
      </c>
      <c r="AK216" s="203" t="e">
        <v>#N/A</v>
      </c>
      <c r="AL216" s="204" t="e">
        <v>#N/A</v>
      </c>
      <c r="AM216" s="204" t="e">
        <v>#N/A</v>
      </c>
      <c r="AN216" s="204" t="e">
        <v>#N/A</v>
      </c>
      <c r="AO216" s="204" t="e">
        <v>#N/A</v>
      </c>
      <c r="AP216" s="204" t="e">
        <v>#N/A</v>
      </c>
      <c r="AQ216" s="204" t="e">
        <v>#N/A</v>
      </c>
      <c r="AR216" s="204">
        <f>-$AJ216/8</f>
        <v>-22.385912751502701</v>
      </c>
    </row>
    <row r="217" spans="2:44" s="150" customFormat="1">
      <c r="B217" s="156" t="s">
        <v>9</v>
      </c>
      <c r="C217" s="185" t="s">
        <v>143</v>
      </c>
      <c r="D217" s="167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86"/>
      <c r="AI217" s="194"/>
      <c r="AJ217" s="199">
        <f>IF(AJ$37&gt;0,(AJ$37-AJ229)*1000,0)</f>
        <v>-8996.3191003539014</v>
      </c>
      <c r="AK217" s="201">
        <f>-$AJ217/8</f>
        <v>1124.5398875442377</v>
      </c>
      <c r="AL217" s="172">
        <f t="shared" si="50"/>
        <v>1124.5398875442377</v>
      </c>
      <c r="AM217" s="172">
        <f>-$AJ217/8</f>
        <v>1124.5398875442377</v>
      </c>
      <c r="AN217" s="172">
        <f t="shared" si="50"/>
        <v>1124.5398875442377</v>
      </c>
      <c r="AO217" s="172">
        <f t="shared" si="50"/>
        <v>1124.5398875442377</v>
      </c>
      <c r="AP217" s="172">
        <f t="shared" si="50"/>
        <v>1124.5398875442377</v>
      </c>
      <c r="AQ217" s="172">
        <f t="shared" si="50"/>
        <v>1124.5398875442377</v>
      </c>
      <c r="AR217" s="172">
        <f t="shared" si="50"/>
        <v>1124.5398875442377</v>
      </c>
    </row>
    <row r="218" spans="2:44" s="150" customFormat="1">
      <c r="B218" s="180" t="s">
        <v>10</v>
      </c>
      <c r="C218" s="183" t="s">
        <v>143</v>
      </c>
      <c r="D218" s="168"/>
      <c r="E218" s="168"/>
      <c r="F218" s="168"/>
      <c r="G218" s="168"/>
      <c r="H218" s="168"/>
      <c r="I218" s="168"/>
      <c r="J218" s="168"/>
      <c r="K218" s="168"/>
      <c r="L218" s="168"/>
      <c r="M218" s="168"/>
      <c r="N218" s="168"/>
      <c r="O218" s="168"/>
      <c r="P218" s="168"/>
      <c r="Q218" s="168"/>
      <c r="R218" s="168"/>
      <c r="S218" s="168"/>
      <c r="T218" s="168"/>
      <c r="U218" s="168"/>
      <c r="V218" s="168"/>
      <c r="W218" s="168"/>
      <c r="X218" s="168"/>
      <c r="Y218" s="168"/>
      <c r="Z218" s="168"/>
      <c r="AA218" s="168"/>
      <c r="AB218" s="168"/>
      <c r="AC218" s="168"/>
      <c r="AD218" s="168"/>
      <c r="AE218" s="168"/>
      <c r="AF218" s="168"/>
      <c r="AG218" s="168"/>
      <c r="AH218" s="184"/>
      <c r="AI218" s="193"/>
      <c r="AJ218" s="199">
        <f>IF(AJ$38&gt;0,(AJ$38-AJ230)*1000,0)</f>
        <v>3102.0233567725199</v>
      </c>
      <c r="AK218" s="197">
        <f t="shared" ref="AK218:AK221" si="51">-$AJ218/8</f>
        <v>-387.75291959656499</v>
      </c>
      <c r="AL218" s="171">
        <f t="shared" si="50"/>
        <v>-387.75291959656499</v>
      </c>
      <c r="AM218" s="171">
        <f t="shared" si="50"/>
        <v>-387.75291959656499</v>
      </c>
      <c r="AN218" s="171">
        <f t="shared" si="50"/>
        <v>-387.75291959656499</v>
      </c>
      <c r="AO218" s="171">
        <f t="shared" si="50"/>
        <v>-387.75291959656499</v>
      </c>
      <c r="AP218" s="171">
        <f t="shared" si="50"/>
        <v>-387.75291959656499</v>
      </c>
      <c r="AQ218" s="171">
        <f t="shared" si="50"/>
        <v>-387.75291959656499</v>
      </c>
      <c r="AR218" s="171">
        <f t="shared" si="50"/>
        <v>-387.75291959656499</v>
      </c>
    </row>
    <row r="219" spans="2:44" s="150" customFormat="1">
      <c r="B219" s="156" t="s">
        <v>14</v>
      </c>
      <c r="C219" s="185" t="s">
        <v>143</v>
      </c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  <c r="R219" s="173"/>
      <c r="S219" s="173"/>
      <c r="T219" s="173"/>
      <c r="U219" s="173"/>
      <c r="V219" s="173"/>
      <c r="W219" s="173"/>
      <c r="X219" s="173"/>
      <c r="Y219" s="173"/>
      <c r="Z219" s="173"/>
      <c r="AA219" s="173"/>
      <c r="AB219" s="173"/>
      <c r="AC219" s="173"/>
      <c r="AD219" s="173"/>
      <c r="AE219" s="173"/>
      <c r="AF219" s="173"/>
      <c r="AG219" s="173"/>
      <c r="AH219" s="186"/>
      <c r="AI219" s="194"/>
      <c r="AJ219" s="199">
        <f>IF(AJ$39&gt;0,(AJ$39-AJ231)*1000,0)</f>
        <v>8481.7477072951697</v>
      </c>
      <c r="AK219" s="201">
        <f t="shared" si="51"/>
        <v>-1060.2184634118962</v>
      </c>
      <c r="AL219" s="172">
        <f t="shared" si="50"/>
        <v>-1060.2184634118962</v>
      </c>
      <c r="AM219" s="172">
        <f t="shared" si="50"/>
        <v>-1060.2184634118962</v>
      </c>
      <c r="AN219" s="172">
        <f t="shared" si="50"/>
        <v>-1060.2184634118962</v>
      </c>
      <c r="AO219" s="172">
        <f t="shared" si="50"/>
        <v>-1060.2184634118962</v>
      </c>
      <c r="AP219" s="172">
        <f t="shared" si="50"/>
        <v>-1060.2184634118962</v>
      </c>
      <c r="AQ219" s="172">
        <f t="shared" si="50"/>
        <v>-1060.2184634118962</v>
      </c>
      <c r="AR219" s="172">
        <f t="shared" si="50"/>
        <v>-1060.2184634118962</v>
      </c>
    </row>
    <row r="220" spans="2:44" s="150" customFormat="1">
      <c r="B220" s="157" t="s">
        <v>15</v>
      </c>
      <c r="C220" s="183" t="s">
        <v>143</v>
      </c>
      <c r="D220" s="168"/>
      <c r="E220" s="168"/>
      <c r="F220" s="168"/>
      <c r="G220" s="168"/>
      <c r="H220" s="168"/>
      <c r="I220" s="168"/>
      <c r="J220" s="168"/>
      <c r="K220" s="168"/>
      <c r="L220" s="168"/>
      <c r="M220" s="168"/>
      <c r="N220" s="168"/>
      <c r="O220" s="168"/>
      <c r="P220" s="168"/>
      <c r="Q220" s="168"/>
      <c r="R220" s="168"/>
      <c r="S220" s="168"/>
      <c r="T220" s="168"/>
      <c r="U220" s="168"/>
      <c r="V220" s="168"/>
      <c r="W220" s="168"/>
      <c r="X220" s="168"/>
      <c r="Y220" s="168"/>
      <c r="Z220" s="168"/>
      <c r="AA220" s="168"/>
      <c r="AB220" s="168"/>
      <c r="AC220" s="168"/>
      <c r="AD220" s="168"/>
      <c r="AE220" s="168"/>
      <c r="AF220" s="168"/>
      <c r="AG220" s="168"/>
      <c r="AH220" s="184"/>
      <c r="AI220" s="193"/>
      <c r="AJ220" s="199">
        <f>IF(AJ$40&gt;0,(AJ$40-AJ232)*1000,0)</f>
        <v>-6158.5229238922566</v>
      </c>
      <c r="AK220" s="197">
        <f t="shared" si="51"/>
        <v>769.81536548653207</v>
      </c>
      <c r="AL220" s="171">
        <f t="shared" si="50"/>
        <v>769.81536548653207</v>
      </c>
      <c r="AM220" s="171">
        <f t="shared" si="50"/>
        <v>769.81536548653207</v>
      </c>
      <c r="AN220" s="171">
        <f t="shared" si="50"/>
        <v>769.81536548653207</v>
      </c>
      <c r="AO220" s="171">
        <f t="shared" si="50"/>
        <v>769.81536548653207</v>
      </c>
      <c r="AP220" s="171">
        <f t="shared" si="50"/>
        <v>769.81536548653207</v>
      </c>
      <c r="AQ220" s="171">
        <f t="shared" si="50"/>
        <v>769.81536548653207</v>
      </c>
      <c r="AR220" s="171">
        <f t="shared" si="50"/>
        <v>769.81536548653207</v>
      </c>
    </row>
    <row r="221" spans="2:44" s="150" customFormat="1">
      <c r="B221" s="156" t="s">
        <v>16</v>
      </c>
      <c r="C221" s="185" t="s">
        <v>143</v>
      </c>
      <c r="D221" s="167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86"/>
      <c r="AI221" s="194"/>
      <c r="AJ221" s="199">
        <f>IF(AJ$41&gt;0,(AJ$41-AJ233)*1000,0)</f>
        <v>-2840.2521338541551</v>
      </c>
      <c r="AK221" s="201">
        <f t="shared" si="51"/>
        <v>355.03151673176939</v>
      </c>
      <c r="AL221" s="172">
        <f t="shared" si="50"/>
        <v>355.03151673176939</v>
      </c>
      <c r="AM221" s="172">
        <f t="shared" si="50"/>
        <v>355.03151673176939</v>
      </c>
      <c r="AN221" s="172">
        <f t="shared" si="50"/>
        <v>355.03151673176939</v>
      </c>
      <c r="AO221" s="172">
        <f t="shared" si="50"/>
        <v>355.03151673176939</v>
      </c>
      <c r="AP221" s="172">
        <f t="shared" si="50"/>
        <v>355.03151673176939</v>
      </c>
      <c r="AQ221" s="172">
        <f t="shared" si="50"/>
        <v>355.03151673176939</v>
      </c>
      <c r="AR221" s="172">
        <f t="shared" si="50"/>
        <v>355.03151673176939</v>
      </c>
    </row>
    <row r="222" spans="2:44" s="150" customFormat="1">
      <c r="B222" s="157" t="s">
        <v>75</v>
      </c>
      <c r="C222" s="183" t="s">
        <v>143</v>
      </c>
      <c r="D222" s="168"/>
      <c r="E222" s="168"/>
      <c r="F222" s="168"/>
      <c r="G222" s="168"/>
      <c r="H222" s="168"/>
      <c r="I222" s="168"/>
      <c r="J222" s="168"/>
      <c r="K222" s="168"/>
      <c r="L222" s="168"/>
      <c r="M222" s="168"/>
      <c r="N222" s="168"/>
      <c r="O222" s="168"/>
      <c r="P222" s="168"/>
      <c r="Q222" s="168"/>
      <c r="R222" s="168"/>
      <c r="S222" s="168"/>
      <c r="T222" s="168"/>
      <c r="U222" s="168"/>
      <c r="V222" s="168"/>
      <c r="W222" s="168"/>
      <c r="X222" s="168"/>
      <c r="Y222" s="168"/>
      <c r="Z222" s="168"/>
      <c r="AA222" s="168"/>
      <c r="AB222" s="168"/>
      <c r="AC222" s="168"/>
      <c r="AD222" s="168"/>
      <c r="AE222" s="168"/>
      <c r="AF222" s="168"/>
      <c r="AG222" s="168"/>
      <c r="AH222" s="168"/>
      <c r="AI222" s="182"/>
      <c r="AJ222" s="199"/>
      <c r="AK222" s="177"/>
      <c r="AL222" s="168"/>
      <c r="AM222" s="168"/>
      <c r="AN222" s="168"/>
      <c r="AO222" s="168"/>
      <c r="AP222" s="168"/>
      <c r="AQ222" s="168"/>
      <c r="AR222" s="168"/>
    </row>
    <row r="223" spans="2:44" s="150" customFormat="1" ht="15.75" thickBot="1">
      <c r="B223" s="156" t="s">
        <v>8</v>
      </c>
      <c r="C223" s="160" t="s">
        <v>297</v>
      </c>
      <c r="D223" s="167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95"/>
      <c r="AJ223" s="202">
        <f>IF(AJ$36&gt;0,(AJ$36-AJ235)*1000,0)</f>
        <v>-2417.2294490985564</v>
      </c>
      <c r="AK223" s="201">
        <f>-$AJ223/8</f>
        <v>302.15368113731955</v>
      </c>
      <c r="AL223" s="172">
        <f t="shared" si="50"/>
        <v>302.15368113731955</v>
      </c>
      <c r="AM223" s="172">
        <f>-$AJ223/8</f>
        <v>302.15368113731955</v>
      </c>
      <c r="AN223" s="172">
        <f t="shared" si="50"/>
        <v>302.15368113731955</v>
      </c>
      <c r="AO223" s="172">
        <f t="shared" si="50"/>
        <v>302.15368113731955</v>
      </c>
      <c r="AP223" s="172">
        <f t="shared" si="50"/>
        <v>302.15368113731955</v>
      </c>
      <c r="AQ223" s="172">
        <f t="shared" si="50"/>
        <v>302.15368113731955</v>
      </c>
      <c r="AR223" s="172">
        <f t="shared" si="50"/>
        <v>302.15368113731955</v>
      </c>
    </row>
    <row r="224" spans="2:44" s="150" customFormat="1">
      <c r="B224" s="152"/>
      <c r="C224" s="163"/>
      <c r="D224" s="166"/>
      <c r="E224" s="166"/>
      <c r="F224" s="166"/>
      <c r="G224" s="166"/>
      <c r="H224" s="166"/>
      <c r="I224" s="166"/>
      <c r="J224" s="166"/>
      <c r="K224" s="166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  <c r="V224" s="166"/>
      <c r="W224" s="166"/>
      <c r="X224" s="166"/>
      <c r="Y224" s="166"/>
      <c r="Z224" s="166"/>
      <c r="AA224" s="166"/>
      <c r="AB224" s="166"/>
      <c r="AC224" s="166"/>
      <c r="AD224" s="166"/>
      <c r="AE224" s="166"/>
      <c r="AF224" s="166"/>
      <c r="AG224" s="166"/>
      <c r="AH224" s="166"/>
      <c r="AI224" s="166"/>
      <c r="AJ224" s="205"/>
      <c r="AK224" s="205" t="s">
        <v>103</v>
      </c>
      <c r="AL224" s="205" t="s">
        <v>103</v>
      </c>
      <c r="AM224" s="205" t="s">
        <v>103</v>
      </c>
      <c r="AN224" s="205" t="s">
        <v>103</v>
      </c>
      <c r="AO224" s="205" t="s">
        <v>103</v>
      </c>
      <c r="AP224" s="205" t="s">
        <v>103</v>
      </c>
      <c r="AQ224" s="205" t="s">
        <v>103</v>
      </c>
      <c r="AR224" s="205" t="s">
        <v>103</v>
      </c>
    </row>
    <row r="225" spans="2:44" s="150" customFormat="1">
      <c r="B225" s="174" t="s">
        <v>137</v>
      </c>
      <c r="C225" s="163"/>
      <c r="D225" s="166"/>
      <c r="E225" s="166"/>
      <c r="F225" s="166"/>
      <c r="G225" s="166"/>
      <c r="H225" s="166"/>
      <c r="I225" s="166"/>
      <c r="J225" s="166"/>
      <c r="K225" s="166"/>
      <c r="L225" s="166"/>
      <c r="M225" s="166"/>
      <c r="N225" s="166"/>
      <c r="O225" s="166"/>
      <c r="P225" s="166"/>
      <c r="Q225" s="166"/>
      <c r="R225" s="166"/>
      <c r="S225" s="166"/>
      <c r="T225" s="166"/>
      <c r="U225" s="166"/>
      <c r="V225" s="166"/>
      <c r="W225" s="166"/>
      <c r="X225" s="166"/>
      <c r="Y225" s="166"/>
      <c r="Z225" s="166"/>
      <c r="AA225" s="166"/>
      <c r="AB225" s="166"/>
      <c r="AC225" s="166"/>
      <c r="AD225" s="166"/>
      <c r="AE225" s="166"/>
      <c r="AF225" s="166"/>
      <c r="AG225" s="166"/>
      <c r="AH225" s="192"/>
      <c r="AJ225" s="196"/>
      <c r="AK225" s="166"/>
      <c r="AL225" s="166"/>
      <c r="AM225" s="166"/>
      <c r="AN225" s="166"/>
      <c r="AO225" s="166"/>
      <c r="AP225" s="166"/>
      <c r="AQ225" s="166"/>
      <c r="AR225" s="166"/>
    </row>
    <row r="226" spans="2:44" s="150" customFormat="1">
      <c r="B226" s="151" t="s">
        <v>69</v>
      </c>
      <c r="C226" s="158"/>
      <c r="D226" s="155">
        <v>32874</v>
      </c>
      <c r="E226" s="155">
        <v>33239</v>
      </c>
      <c r="F226" s="155">
        <v>33604</v>
      </c>
      <c r="G226" s="155">
        <v>33970</v>
      </c>
      <c r="H226" s="155">
        <v>34335</v>
      </c>
      <c r="I226" s="155">
        <v>34700</v>
      </c>
      <c r="J226" s="155">
        <v>35065</v>
      </c>
      <c r="K226" s="155">
        <v>35431</v>
      </c>
      <c r="L226" s="155">
        <v>35796</v>
      </c>
      <c r="M226" s="155">
        <v>36161</v>
      </c>
      <c r="N226" s="155">
        <v>36526</v>
      </c>
      <c r="O226" s="155">
        <v>36892</v>
      </c>
      <c r="P226" s="155">
        <v>37257</v>
      </c>
      <c r="Q226" s="155">
        <v>37622</v>
      </c>
      <c r="R226" s="155">
        <v>37987</v>
      </c>
      <c r="S226" s="155">
        <v>38353</v>
      </c>
      <c r="T226" s="155">
        <v>38718</v>
      </c>
      <c r="U226" s="155">
        <v>39083</v>
      </c>
      <c r="V226" s="155">
        <v>39448</v>
      </c>
      <c r="W226" s="155">
        <v>39814</v>
      </c>
      <c r="X226" s="155">
        <v>40179</v>
      </c>
      <c r="Y226" s="155">
        <v>40544</v>
      </c>
      <c r="Z226" s="155">
        <v>40909</v>
      </c>
      <c r="AA226" s="155">
        <v>41275</v>
      </c>
      <c r="AB226" s="155">
        <v>41640</v>
      </c>
      <c r="AC226" s="155">
        <v>42005</v>
      </c>
      <c r="AD226" s="155">
        <v>42370</v>
      </c>
      <c r="AE226" s="155">
        <v>42736</v>
      </c>
      <c r="AF226" s="155">
        <v>43101</v>
      </c>
      <c r="AG226" s="155">
        <v>43466</v>
      </c>
      <c r="AH226" s="190">
        <v>43831</v>
      </c>
      <c r="AI226" s="155">
        <v>44197</v>
      </c>
      <c r="AJ226" s="190">
        <v>44562</v>
      </c>
      <c r="AK226" s="155">
        <v>44927</v>
      </c>
      <c r="AL226" s="155">
        <v>45292</v>
      </c>
      <c r="AM226" s="155">
        <v>45658</v>
      </c>
      <c r="AN226" s="155">
        <v>46023</v>
      </c>
      <c r="AO226" s="155">
        <v>46388</v>
      </c>
      <c r="AP226" s="155">
        <v>46753</v>
      </c>
      <c r="AQ226" s="155">
        <v>47119</v>
      </c>
      <c r="AR226" s="155">
        <v>47484</v>
      </c>
    </row>
    <row r="227" spans="2:44" s="150" customFormat="1">
      <c r="B227" s="156" t="s">
        <v>278</v>
      </c>
      <c r="C227" s="185" t="s">
        <v>144</v>
      </c>
      <c r="D227" s="167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94"/>
      <c r="AI227" s="167"/>
      <c r="AJ227" s="178">
        <f>AJ251+AJ239/1000</f>
        <v>758.84911016535102</v>
      </c>
      <c r="AK227" s="172">
        <f t="shared" ref="AJ227:AR229" si="52">AK251+AK239/1000</f>
        <v>722.84911016535102</v>
      </c>
      <c r="AL227" s="172">
        <f t="shared" si="52"/>
        <v>684.84911016535102</v>
      </c>
      <c r="AM227" s="172">
        <f t="shared" si="52"/>
        <v>645.84911016535102</v>
      </c>
      <c r="AN227" s="172">
        <f t="shared" si="52"/>
        <v>606.84911016535102</v>
      </c>
      <c r="AO227" s="172">
        <f t="shared" si="52"/>
        <v>567.84911016535102</v>
      </c>
      <c r="AP227" s="172">
        <f t="shared" si="52"/>
        <v>525.84911016535102</v>
      </c>
      <c r="AQ227" s="172">
        <f t="shared" si="52"/>
        <v>484.84911016535102</v>
      </c>
      <c r="AR227" s="172">
        <f t="shared" si="52"/>
        <v>440.84911016535102</v>
      </c>
    </row>
    <row r="228" spans="2:44" s="150" customFormat="1">
      <c r="B228" s="157" t="s">
        <v>8</v>
      </c>
      <c r="C228" s="183" t="s">
        <v>144</v>
      </c>
      <c r="D228" s="168"/>
      <c r="E228" s="168"/>
      <c r="F228" s="168"/>
      <c r="G228" s="168"/>
      <c r="H228" s="168"/>
      <c r="I228" s="168"/>
      <c r="J228" s="168"/>
      <c r="K228" s="168"/>
      <c r="L228" s="168"/>
      <c r="M228" s="168"/>
      <c r="N228" s="168"/>
      <c r="O228" s="168"/>
      <c r="P228" s="168"/>
      <c r="Q228" s="168"/>
      <c r="R228" s="168"/>
      <c r="S228" s="168"/>
      <c r="T228" s="168"/>
      <c r="U228" s="168"/>
      <c r="V228" s="168"/>
      <c r="W228" s="168"/>
      <c r="X228" s="168"/>
      <c r="Y228" s="168"/>
      <c r="Z228" s="168"/>
      <c r="AA228" s="168"/>
      <c r="AB228" s="168"/>
      <c r="AC228" s="168"/>
      <c r="AD228" s="168"/>
      <c r="AE228" s="168"/>
      <c r="AF228" s="168"/>
      <c r="AG228" s="168"/>
      <c r="AH228" s="193"/>
      <c r="AI228" s="168"/>
      <c r="AJ228" s="176">
        <f>AJ252+AJ240/1000</f>
        <v>257</v>
      </c>
      <c r="AK228" s="171" t="e">
        <f t="shared" ref="AK228:AR228" si="53">AK252+AK240/1000</f>
        <v>#N/A</v>
      </c>
      <c r="AL228" s="171" t="e">
        <f t="shared" si="53"/>
        <v>#N/A</v>
      </c>
      <c r="AM228" s="171" t="e">
        <f t="shared" si="53"/>
        <v>#N/A</v>
      </c>
      <c r="AN228" s="171" t="e">
        <f t="shared" si="53"/>
        <v>#N/A</v>
      </c>
      <c r="AO228" s="171" t="e">
        <f t="shared" si="53"/>
        <v>#N/A</v>
      </c>
      <c r="AP228" s="171" t="e">
        <f t="shared" si="53"/>
        <v>#N/A</v>
      </c>
      <c r="AQ228" s="171" t="e">
        <f t="shared" si="53"/>
        <v>#N/A</v>
      </c>
      <c r="AR228" s="171">
        <f t="shared" si="53"/>
        <v>108</v>
      </c>
    </row>
    <row r="229" spans="2:44" s="150" customFormat="1">
      <c r="B229" s="156" t="s">
        <v>9</v>
      </c>
      <c r="C229" s="185" t="s">
        <v>144</v>
      </c>
      <c r="D229" s="167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94"/>
      <c r="AI229" s="167"/>
      <c r="AJ229" s="178">
        <f t="shared" si="52"/>
        <v>176.86086659631175</v>
      </c>
      <c r="AK229" s="172">
        <f t="shared" si="52"/>
        <v>171.86086659631175</v>
      </c>
      <c r="AL229" s="172">
        <f t="shared" si="52"/>
        <v>164.86086659631175</v>
      </c>
      <c r="AM229" s="172">
        <f t="shared" si="52"/>
        <v>156.86086659631175</v>
      </c>
      <c r="AN229" s="172">
        <f t="shared" si="52"/>
        <v>148.86086659631175</v>
      </c>
      <c r="AO229" s="172">
        <f t="shared" si="52"/>
        <v>139.86086659631175</v>
      </c>
      <c r="AP229" s="172">
        <f t="shared" si="52"/>
        <v>131.86086659631175</v>
      </c>
      <c r="AQ229" s="172">
        <f t="shared" si="52"/>
        <v>124.86086659631174</v>
      </c>
      <c r="AR229" s="172">
        <f t="shared" si="52"/>
        <v>117.86086659631174</v>
      </c>
    </row>
    <row r="230" spans="2:44" s="150" customFormat="1">
      <c r="B230" s="180" t="s">
        <v>10</v>
      </c>
      <c r="C230" s="183" t="s">
        <v>144</v>
      </c>
      <c r="D230" s="168"/>
      <c r="E230" s="168"/>
      <c r="F230" s="168"/>
      <c r="G230" s="168"/>
      <c r="H230" s="168"/>
      <c r="I230" s="168"/>
      <c r="J230" s="168"/>
      <c r="K230" s="168"/>
      <c r="L230" s="168"/>
      <c r="M230" s="168"/>
      <c r="N230" s="168"/>
      <c r="O230" s="168"/>
      <c r="P230" s="168"/>
      <c r="Q230" s="168"/>
      <c r="R230" s="168"/>
      <c r="S230" s="168"/>
      <c r="T230" s="168"/>
      <c r="U230" s="168"/>
      <c r="V230" s="168"/>
      <c r="W230" s="168"/>
      <c r="X230" s="168"/>
      <c r="Y230" s="168"/>
      <c r="Z230" s="168"/>
      <c r="AA230" s="168"/>
      <c r="AB230" s="168"/>
      <c r="AC230" s="168"/>
      <c r="AD230" s="168"/>
      <c r="AE230" s="168"/>
      <c r="AF230" s="168"/>
      <c r="AG230" s="168"/>
      <c r="AH230" s="193"/>
      <c r="AI230" s="168"/>
      <c r="AJ230" s="176">
        <f t="shared" ref="AJ230:AR230" si="54">AJ254+AJ242/1000</f>
        <v>107.44154968536468</v>
      </c>
      <c r="AK230" s="171">
        <f t="shared" si="54"/>
        <v>101.44154968536468</v>
      </c>
      <c r="AL230" s="171">
        <f t="shared" si="54"/>
        <v>96.441549685364677</v>
      </c>
      <c r="AM230" s="171">
        <f t="shared" si="54"/>
        <v>91.441549685364677</v>
      </c>
      <c r="AN230" s="171">
        <f t="shared" si="54"/>
        <v>86.441549685364677</v>
      </c>
      <c r="AO230" s="171">
        <f t="shared" si="54"/>
        <v>81.441549685364677</v>
      </c>
      <c r="AP230" s="171">
        <f t="shared" si="54"/>
        <v>76.441549685364677</v>
      </c>
      <c r="AQ230" s="171">
        <f t="shared" si="54"/>
        <v>71.441549685364677</v>
      </c>
      <c r="AR230" s="171">
        <f t="shared" si="54"/>
        <v>66.441549685364677</v>
      </c>
    </row>
    <row r="231" spans="2:44" s="150" customFormat="1">
      <c r="B231" s="156" t="s">
        <v>14</v>
      </c>
      <c r="C231" s="185" t="s">
        <v>144</v>
      </c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  <c r="R231" s="173"/>
      <c r="S231" s="173"/>
      <c r="T231" s="173"/>
      <c r="U231" s="173"/>
      <c r="V231" s="173"/>
      <c r="W231" s="173"/>
      <c r="X231" s="173"/>
      <c r="Y231" s="173"/>
      <c r="Z231" s="173"/>
      <c r="AA231" s="173"/>
      <c r="AB231" s="173"/>
      <c r="AC231" s="173"/>
      <c r="AD231" s="173"/>
      <c r="AE231" s="173"/>
      <c r="AF231" s="173"/>
      <c r="AG231" s="173"/>
      <c r="AH231" s="194"/>
      <c r="AI231" s="173"/>
      <c r="AJ231" s="178">
        <f t="shared" ref="AJ231:AR231" si="55">AJ255+AJ243/1000</f>
        <v>138.80153267406732</v>
      </c>
      <c r="AK231" s="172">
        <f t="shared" si="55"/>
        <v>133.80153267406732</v>
      </c>
      <c r="AL231" s="172">
        <f t="shared" si="55"/>
        <v>127.8015326740673</v>
      </c>
      <c r="AM231" s="172">
        <f t="shared" si="55"/>
        <v>122.8015326740673</v>
      </c>
      <c r="AN231" s="172">
        <f t="shared" si="55"/>
        <v>116.8015326740673</v>
      </c>
      <c r="AO231" s="172">
        <f t="shared" si="55"/>
        <v>111.8015326740673</v>
      </c>
      <c r="AP231" s="172">
        <f t="shared" si="55"/>
        <v>104.8015326740673</v>
      </c>
      <c r="AQ231" s="172">
        <f t="shared" si="55"/>
        <v>95.801532674067303</v>
      </c>
      <c r="AR231" s="172">
        <f t="shared" si="55"/>
        <v>84.801532674067303</v>
      </c>
    </row>
    <row r="232" spans="2:44" s="150" customFormat="1">
      <c r="B232" s="157" t="s">
        <v>15</v>
      </c>
      <c r="C232" s="183" t="s">
        <v>144</v>
      </c>
      <c r="D232" s="168"/>
      <c r="E232" s="168"/>
      <c r="F232" s="168"/>
      <c r="G232" s="168"/>
      <c r="H232" s="168"/>
      <c r="I232" s="168"/>
      <c r="J232" s="168"/>
      <c r="K232" s="168"/>
      <c r="L232" s="168"/>
      <c r="M232" s="168"/>
      <c r="N232" s="168"/>
      <c r="O232" s="168"/>
      <c r="P232" s="168"/>
      <c r="Q232" s="168"/>
      <c r="R232" s="168"/>
      <c r="S232" s="168"/>
      <c r="T232" s="168"/>
      <c r="U232" s="168"/>
      <c r="V232" s="168"/>
      <c r="W232" s="168"/>
      <c r="X232" s="168"/>
      <c r="Y232" s="168"/>
      <c r="Z232" s="168"/>
      <c r="AA232" s="168"/>
      <c r="AB232" s="168"/>
      <c r="AC232" s="168"/>
      <c r="AD232" s="168"/>
      <c r="AE232" s="168"/>
      <c r="AF232" s="168"/>
      <c r="AG232" s="168"/>
      <c r="AH232" s="193"/>
      <c r="AI232" s="168"/>
      <c r="AJ232" s="176">
        <f t="shared" ref="AJ232:AR232" si="56">AJ256+AJ244/1000</f>
        <v>67.592627518947467</v>
      </c>
      <c r="AK232" s="171">
        <f t="shared" si="56"/>
        <v>66.592627518947467</v>
      </c>
      <c r="AL232" s="171">
        <f t="shared" si="56"/>
        <v>65.592627518947467</v>
      </c>
      <c r="AM232" s="171">
        <f t="shared" si="56"/>
        <v>63.592627518947459</v>
      </c>
      <c r="AN232" s="171">
        <f t="shared" si="56"/>
        <v>62.592627518947459</v>
      </c>
      <c r="AO232" s="171">
        <f t="shared" si="56"/>
        <v>61.592627518947459</v>
      </c>
      <c r="AP232" s="171">
        <f t="shared" si="56"/>
        <v>59.592627518947459</v>
      </c>
      <c r="AQ232" s="171">
        <f t="shared" si="56"/>
        <v>57.592627518947459</v>
      </c>
      <c r="AR232" s="171">
        <f t="shared" si="56"/>
        <v>56.592627518947459</v>
      </c>
    </row>
    <row r="233" spans="2:44" s="150" customFormat="1">
      <c r="B233" s="156" t="s">
        <v>16</v>
      </c>
      <c r="C233" s="185" t="s">
        <v>144</v>
      </c>
      <c r="D233" s="167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94"/>
      <c r="AI233" s="167"/>
      <c r="AJ233" s="178">
        <f t="shared" ref="AJ233:AR233" si="57">AJ257+AJ245/1000</f>
        <v>8.5006613839937355</v>
      </c>
      <c r="AK233" s="172">
        <f t="shared" si="57"/>
        <v>8.5006613839937355</v>
      </c>
      <c r="AL233" s="172">
        <f t="shared" si="57"/>
        <v>7.5006613839937364</v>
      </c>
      <c r="AM233" s="172">
        <f t="shared" si="57"/>
        <v>7.5006613839937364</v>
      </c>
      <c r="AN233" s="172">
        <f t="shared" si="57"/>
        <v>6.5006613839937364</v>
      </c>
      <c r="AO233" s="172">
        <f t="shared" si="57"/>
        <v>6.5006613839937364</v>
      </c>
      <c r="AP233" s="172">
        <f t="shared" si="57"/>
        <v>5.5006613839937364</v>
      </c>
      <c r="AQ233" s="172">
        <f t="shared" si="57"/>
        <v>5.5006613839937364</v>
      </c>
      <c r="AR233" s="172">
        <f t="shared" si="57"/>
        <v>4.5006613839937364</v>
      </c>
    </row>
    <row r="234" spans="2:44" s="150" customFormat="1">
      <c r="B234" s="157" t="s">
        <v>75</v>
      </c>
      <c r="C234" s="183" t="s">
        <v>144</v>
      </c>
      <c r="D234" s="168"/>
      <c r="E234" s="168"/>
      <c r="F234" s="168"/>
      <c r="G234" s="168"/>
      <c r="H234" s="168"/>
      <c r="I234" s="168"/>
      <c r="J234" s="168"/>
      <c r="K234" s="168"/>
      <c r="L234" s="168"/>
      <c r="M234" s="168"/>
      <c r="N234" s="168"/>
      <c r="O234" s="168"/>
      <c r="P234" s="168"/>
      <c r="Q234" s="168"/>
      <c r="R234" s="168"/>
      <c r="S234" s="168"/>
      <c r="T234" s="168"/>
      <c r="U234" s="168"/>
      <c r="V234" s="168"/>
      <c r="W234" s="168"/>
      <c r="X234" s="168"/>
      <c r="Y234" s="168"/>
      <c r="Z234" s="168"/>
      <c r="AA234" s="168"/>
      <c r="AB234" s="168"/>
      <c r="AC234" s="168"/>
      <c r="AD234" s="168"/>
      <c r="AE234" s="168"/>
      <c r="AF234" s="168"/>
      <c r="AG234" s="168"/>
      <c r="AH234" s="182"/>
      <c r="AI234" s="168"/>
      <c r="AJ234" s="182"/>
      <c r="AK234" s="168"/>
      <c r="AL234" s="168"/>
      <c r="AM234" s="168"/>
      <c r="AN234" s="168"/>
      <c r="AO234" s="168"/>
      <c r="AP234" s="168"/>
      <c r="AQ234" s="168"/>
      <c r="AR234" s="168"/>
    </row>
    <row r="235" spans="2:44" s="150" customFormat="1">
      <c r="B235" s="156" t="s">
        <v>8</v>
      </c>
      <c r="C235" s="160" t="s">
        <v>297</v>
      </c>
      <c r="D235" s="167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95"/>
      <c r="AI235" s="167"/>
      <c r="AJ235" s="178">
        <f>AJ259+AJ247/1000</f>
        <v>259.59631675111058</v>
      </c>
      <c r="AK235" s="172">
        <f t="shared" ref="AK235:AR235" si="58">AK259+AK247/1000</f>
        <v>240.97131675111055</v>
      </c>
      <c r="AL235" s="172">
        <f t="shared" si="58"/>
        <v>222.34631675111055</v>
      </c>
      <c r="AM235" s="172">
        <f t="shared" si="58"/>
        <v>203.72131675111055</v>
      </c>
      <c r="AN235" s="172">
        <f t="shared" si="58"/>
        <v>185.09631675111055</v>
      </c>
      <c r="AO235" s="172">
        <f t="shared" si="58"/>
        <v>166.47131675111055</v>
      </c>
      <c r="AP235" s="172">
        <f t="shared" si="58"/>
        <v>147.84631675111055</v>
      </c>
      <c r="AQ235" s="172">
        <f t="shared" si="58"/>
        <v>129.22131675111055</v>
      </c>
      <c r="AR235" s="172">
        <f t="shared" si="58"/>
        <v>110.59631675111055</v>
      </c>
    </row>
    <row r="236" spans="2:44" s="150" customFormat="1" ht="15.75" thickBot="1">
      <c r="B236" s="152"/>
      <c r="C236" s="163"/>
      <c r="D236" s="166"/>
      <c r="E236" s="166"/>
      <c r="F236" s="166"/>
      <c r="G236" s="166"/>
      <c r="H236" s="166"/>
      <c r="I236" s="166"/>
      <c r="J236" s="166"/>
      <c r="K236" s="166"/>
      <c r="L236" s="166"/>
      <c r="M236" s="166"/>
      <c r="N236" s="166"/>
      <c r="O236" s="166"/>
      <c r="P236" s="166"/>
      <c r="Q236" s="166"/>
      <c r="R236" s="166"/>
      <c r="S236" s="166"/>
      <c r="T236" s="166"/>
      <c r="U236" s="166"/>
      <c r="V236" s="166"/>
      <c r="W236" s="166"/>
      <c r="X236" s="166"/>
      <c r="Y236" s="166"/>
      <c r="Z236" s="166"/>
      <c r="AA236" s="166"/>
      <c r="AB236" s="166"/>
      <c r="AC236" s="166"/>
      <c r="AD236" s="166"/>
      <c r="AE236" s="166"/>
      <c r="AF236" s="166"/>
      <c r="AG236" s="166"/>
      <c r="AH236" s="166"/>
      <c r="AI236" s="166"/>
      <c r="AJ236" s="205" t="s">
        <v>103</v>
      </c>
      <c r="AK236" s="205" t="s">
        <v>103</v>
      </c>
      <c r="AL236" s="205" t="s">
        <v>103</v>
      </c>
      <c r="AM236" s="205" t="s">
        <v>103</v>
      </c>
      <c r="AN236" s="205" t="s">
        <v>103</v>
      </c>
      <c r="AO236" s="205" t="s">
        <v>103</v>
      </c>
      <c r="AP236" s="205" t="s">
        <v>103</v>
      </c>
      <c r="AQ236" s="205" t="s">
        <v>103</v>
      </c>
      <c r="AR236" s="205" t="s">
        <v>103</v>
      </c>
    </row>
    <row r="237" spans="2:44" s="150" customFormat="1">
      <c r="B237" s="174" t="s">
        <v>104</v>
      </c>
      <c r="C237" s="163"/>
      <c r="D237" s="166"/>
      <c r="E237" s="166"/>
      <c r="F237" s="166"/>
      <c r="G237" s="166"/>
      <c r="H237" s="166"/>
      <c r="I237" s="166"/>
      <c r="J237" s="166"/>
      <c r="K237" s="166"/>
      <c r="L237" s="166"/>
      <c r="M237" s="166"/>
      <c r="N237" s="166"/>
      <c r="O237" s="166"/>
      <c r="P237" s="166"/>
      <c r="Q237" s="166"/>
      <c r="R237" s="166"/>
      <c r="S237" s="166"/>
      <c r="T237" s="166"/>
      <c r="U237" s="166"/>
      <c r="V237" s="166"/>
      <c r="W237" s="166"/>
      <c r="X237" s="166"/>
      <c r="Y237" s="166"/>
      <c r="Z237" s="166"/>
      <c r="AA237" s="166"/>
      <c r="AB237" s="166"/>
      <c r="AC237" s="166"/>
      <c r="AD237" s="166"/>
      <c r="AE237" s="166"/>
      <c r="AF237" s="166"/>
      <c r="AG237" s="166"/>
      <c r="AH237" s="192"/>
      <c r="AI237" s="198" t="s">
        <v>41</v>
      </c>
      <c r="AJ237" s="196" t="s">
        <v>105</v>
      </c>
      <c r="AK237" s="166"/>
      <c r="AL237" s="166"/>
      <c r="AM237" s="166"/>
      <c r="AN237" s="166"/>
      <c r="AO237" s="166"/>
      <c r="AP237" s="166"/>
      <c r="AQ237" s="166"/>
      <c r="AR237" s="166"/>
    </row>
    <row r="238" spans="2:44" s="150" customFormat="1">
      <c r="B238" s="151" t="s">
        <v>69</v>
      </c>
      <c r="C238" s="158"/>
      <c r="D238" s="155">
        <v>32874</v>
      </c>
      <c r="E238" s="155">
        <v>33239</v>
      </c>
      <c r="F238" s="155">
        <v>33604</v>
      </c>
      <c r="G238" s="155">
        <v>33970</v>
      </c>
      <c r="H238" s="155">
        <v>34335</v>
      </c>
      <c r="I238" s="155">
        <v>34700</v>
      </c>
      <c r="J238" s="155">
        <v>35065</v>
      </c>
      <c r="K238" s="155">
        <v>35431</v>
      </c>
      <c r="L238" s="155">
        <v>35796</v>
      </c>
      <c r="M238" s="155">
        <v>36161</v>
      </c>
      <c r="N238" s="155">
        <v>36526</v>
      </c>
      <c r="O238" s="155">
        <v>36892</v>
      </c>
      <c r="P238" s="155">
        <v>37257</v>
      </c>
      <c r="Q238" s="155">
        <v>37622</v>
      </c>
      <c r="R238" s="155">
        <v>37987</v>
      </c>
      <c r="S238" s="155">
        <v>38353</v>
      </c>
      <c r="T238" s="155">
        <v>38718</v>
      </c>
      <c r="U238" s="155">
        <v>39083</v>
      </c>
      <c r="V238" s="155">
        <v>39448</v>
      </c>
      <c r="W238" s="155">
        <v>39814</v>
      </c>
      <c r="X238" s="155">
        <v>40179</v>
      </c>
      <c r="Y238" s="155">
        <v>40544</v>
      </c>
      <c r="Z238" s="155">
        <v>40909</v>
      </c>
      <c r="AA238" s="155">
        <v>41275</v>
      </c>
      <c r="AB238" s="155">
        <v>41640</v>
      </c>
      <c r="AC238" s="155">
        <v>42005</v>
      </c>
      <c r="AD238" s="155">
        <v>42370</v>
      </c>
      <c r="AE238" s="155">
        <v>42736</v>
      </c>
      <c r="AF238" s="155">
        <v>43101</v>
      </c>
      <c r="AG238" s="155">
        <v>43466</v>
      </c>
      <c r="AH238" s="190">
        <v>43831</v>
      </c>
      <c r="AI238" s="175">
        <v>44197</v>
      </c>
      <c r="AJ238" s="191">
        <v>44562</v>
      </c>
      <c r="AK238" s="155">
        <v>44927</v>
      </c>
      <c r="AL238" s="155">
        <v>45292</v>
      </c>
      <c r="AM238" s="155">
        <v>45658</v>
      </c>
      <c r="AN238" s="155">
        <v>46023</v>
      </c>
      <c r="AO238" s="155">
        <v>46388</v>
      </c>
      <c r="AP238" s="155">
        <v>46753</v>
      </c>
      <c r="AQ238" s="155">
        <v>47119</v>
      </c>
      <c r="AR238" s="155">
        <v>47484</v>
      </c>
    </row>
    <row r="239" spans="2:44" s="150" customFormat="1">
      <c r="B239" s="156" t="s">
        <v>278</v>
      </c>
      <c r="C239" s="185" t="s">
        <v>143</v>
      </c>
      <c r="D239" s="167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94"/>
      <c r="AI239" s="199">
        <f>IF(AI$35&gt;0,(AI$35-AI251)*1000,0)</f>
        <v>-25641.991488159307</v>
      </c>
      <c r="AJ239" s="179">
        <f>-$AI239/9</f>
        <v>2849.1101653510341</v>
      </c>
      <c r="AK239" s="167">
        <f t="shared" ref="AK239:AR247" si="59">-$AI239/9</f>
        <v>2849.1101653510341</v>
      </c>
      <c r="AL239" s="167">
        <f t="shared" si="59"/>
        <v>2849.1101653510341</v>
      </c>
      <c r="AM239" s="167">
        <f t="shared" si="59"/>
        <v>2849.1101653510341</v>
      </c>
      <c r="AN239" s="167">
        <f t="shared" si="59"/>
        <v>2849.1101653510341</v>
      </c>
      <c r="AO239" s="167">
        <f t="shared" si="59"/>
        <v>2849.1101653510341</v>
      </c>
      <c r="AP239" s="167">
        <f t="shared" si="59"/>
        <v>2849.1101653510341</v>
      </c>
      <c r="AQ239" s="167">
        <f t="shared" si="59"/>
        <v>2849.1101653510341</v>
      </c>
      <c r="AR239" s="167">
        <f t="shared" si="59"/>
        <v>2849.1101653510341</v>
      </c>
    </row>
    <row r="240" spans="2:44" s="150" customFormat="1">
      <c r="B240" s="157" t="s">
        <v>8</v>
      </c>
      <c r="C240" s="183" t="s">
        <v>143</v>
      </c>
      <c r="D240" s="168"/>
      <c r="E240" s="168"/>
      <c r="F240" s="168"/>
      <c r="G240" s="168"/>
      <c r="H240" s="168"/>
      <c r="I240" s="168"/>
      <c r="J240" s="168"/>
      <c r="K240" s="168"/>
      <c r="L240" s="168"/>
      <c r="M240" s="168"/>
      <c r="N240" s="168"/>
      <c r="O240" s="168"/>
      <c r="P240" s="168"/>
      <c r="Q240" s="168"/>
      <c r="R240" s="168"/>
      <c r="S240" s="168"/>
      <c r="T240" s="168"/>
      <c r="U240" s="168"/>
      <c r="V240" s="168"/>
      <c r="W240" s="168"/>
      <c r="X240" s="168"/>
      <c r="Y240" s="168"/>
      <c r="Z240" s="168"/>
      <c r="AA240" s="168"/>
      <c r="AB240" s="168"/>
      <c r="AC240" s="168"/>
      <c r="AD240" s="168"/>
      <c r="AE240" s="168"/>
      <c r="AF240" s="168"/>
      <c r="AG240" s="168"/>
      <c r="AH240" s="193"/>
      <c r="AI240" s="199" t="e">
        <f>AI252</f>
        <v>#N/A</v>
      </c>
      <c r="AJ240" s="203">
        <v>0</v>
      </c>
      <c r="AK240" s="204" t="e">
        <f t="shared" ref="AK240:AQ240" si="60">AK252</f>
        <v>#N/A</v>
      </c>
      <c r="AL240" s="204" t="e">
        <f t="shared" si="60"/>
        <v>#N/A</v>
      </c>
      <c r="AM240" s="204" t="e">
        <f t="shared" si="60"/>
        <v>#N/A</v>
      </c>
      <c r="AN240" s="204" t="e">
        <f t="shared" si="60"/>
        <v>#N/A</v>
      </c>
      <c r="AO240" s="204" t="e">
        <f t="shared" si="60"/>
        <v>#N/A</v>
      </c>
      <c r="AP240" s="204" t="e">
        <f t="shared" si="60"/>
        <v>#N/A</v>
      </c>
      <c r="AQ240" s="204" t="e">
        <f t="shared" si="60"/>
        <v>#N/A</v>
      </c>
      <c r="AR240" s="204">
        <v>0</v>
      </c>
    </row>
    <row r="241" spans="2:44" s="150" customFormat="1">
      <c r="B241" s="156" t="s">
        <v>9</v>
      </c>
      <c r="C241" s="185" t="s">
        <v>143</v>
      </c>
      <c r="D241" s="167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94"/>
      <c r="AI241" s="199">
        <f>IF(AI$37&gt;0,(AI$37-AI253)*1000,0)</f>
        <v>1252.2006331943487</v>
      </c>
      <c r="AJ241" s="179">
        <f>-$AI241/9</f>
        <v>-139.13340368826096</v>
      </c>
      <c r="AK241" s="167">
        <f t="shared" si="59"/>
        <v>-139.13340368826096</v>
      </c>
      <c r="AL241" s="167">
        <f t="shared" si="59"/>
        <v>-139.13340368826096</v>
      </c>
      <c r="AM241" s="167">
        <f t="shared" si="59"/>
        <v>-139.13340368826096</v>
      </c>
      <c r="AN241" s="167">
        <f t="shared" si="59"/>
        <v>-139.13340368826096</v>
      </c>
      <c r="AO241" s="167">
        <f t="shared" si="59"/>
        <v>-139.13340368826096</v>
      </c>
      <c r="AP241" s="167">
        <f t="shared" si="59"/>
        <v>-139.13340368826096</v>
      </c>
      <c r="AQ241" s="167">
        <f t="shared" si="59"/>
        <v>-139.13340368826096</v>
      </c>
      <c r="AR241" s="167">
        <f t="shared" si="59"/>
        <v>-139.13340368826096</v>
      </c>
    </row>
    <row r="242" spans="2:44" s="150" customFormat="1">
      <c r="B242" s="180" t="s">
        <v>10</v>
      </c>
      <c r="C242" s="183" t="s">
        <v>143</v>
      </c>
      <c r="D242" s="168"/>
      <c r="E242" s="168"/>
      <c r="F242" s="168"/>
      <c r="G242" s="168"/>
      <c r="H242" s="168"/>
      <c r="I242" s="168"/>
      <c r="J242" s="168"/>
      <c r="K242" s="168"/>
      <c r="L242" s="168"/>
      <c r="M242" s="168"/>
      <c r="N242" s="168"/>
      <c r="O242" s="168"/>
      <c r="P242" s="168"/>
      <c r="Q242" s="168"/>
      <c r="R242" s="168"/>
      <c r="S242" s="168"/>
      <c r="T242" s="168"/>
      <c r="U242" s="168"/>
      <c r="V242" s="168"/>
      <c r="W242" s="168"/>
      <c r="X242" s="168"/>
      <c r="Y242" s="168"/>
      <c r="Z242" s="168"/>
      <c r="AA242" s="168"/>
      <c r="AB242" s="168"/>
      <c r="AC242" s="168"/>
      <c r="AD242" s="168"/>
      <c r="AE242" s="168"/>
      <c r="AF242" s="168"/>
      <c r="AG242" s="168"/>
      <c r="AH242" s="193"/>
      <c r="AI242" s="199">
        <f>IF(AI$38&gt;0,(AI$38-AI254)*1000,0)</f>
        <v>5026.0528317178487</v>
      </c>
      <c r="AJ242" s="177">
        <f t="shared" ref="AJ242:AJ245" si="61">-$AI242/9</f>
        <v>-558.45031463531654</v>
      </c>
      <c r="AK242" s="168">
        <f t="shared" si="59"/>
        <v>-558.45031463531654</v>
      </c>
      <c r="AL242" s="168">
        <f t="shared" si="59"/>
        <v>-558.45031463531654</v>
      </c>
      <c r="AM242" s="168">
        <f t="shared" si="59"/>
        <v>-558.45031463531654</v>
      </c>
      <c r="AN242" s="168">
        <f t="shared" si="59"/>
        <v>-558.45031463531654</v>
      </c>
      <c r="AO242" s="168">
        <f t="shared" si="59"/>
        <v>-558.45031463531654</v>
      </c>
      <c r="AP242" s="168">
        <f t="shared" si="59"/>
        <v>-558.45031463531654</v>
      </c>
      <c r="AQ242" s="168">
        <f t="shared" si="59"/>
        <v>-558.45031463531654</v>
      </c>
      <c r="AR242" s="168">
        <f t="shared" si="59"/>
        <v>-558.45031463531654</v>
      </c>
    </row>
    <row r="243" spans="2:44" s="150" customFormat="1">
      <c r="B243" s="156" t="s">
        <v>14</v>
      </c>
      <c r="C243" s="185" t="s">
        <v>143</v>
      </c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  <c r="R243" s="173"/>
      <c r="S243" s="173"/>
      <c r="T243" s="173"/>
      <c r="U243" s="173"/>
      <c r="V243" s="173"/>
      <c r="W243" s="173"/>
      <c r="X243" s="173"/>
      <c r="Y243" s="173"/>
      <c r="Z243" s="173"/>
      <c r="AA243" s="173"/>
      <c r="AB243" s="173"/>
      <c r="AC243" s="173"/>
      <c r="AD243" s="173"/>
      <c r="AE243" s="173"/>
      <c r="AF243" s="173"/>
      <c r="AG243" s="173"/>
      <c r="AH243" s="194"/>
      <c r="AI243" s="199">
        <f>IF(AI$39&gt;0,(AI$39-AI255)*1000,0)</f>
        <v>1786.2059333942284</v>
      </c>
      <c r="AJ243" s="179">
        <f t="shared" si="61"/>
        <v>-198.46732593269203</v>
      </c>
      <c r="AK243" s="167">
        <f t="shared" si="59"/>
        <v>-198.46732593269203</v>
      </c>
      <c r="AL243" s="167">
        <f t="shared" si="59"/>
        <v>-198.46732593269203</v>
      </c>
      <c r="AM243" s="167">
        <f t="shared" si="59"/>
        <v>-198.46732593269203</v>
      </c>
      <c r="AN243" s="167">
        <f t="shared" si="59"/>
        <v>-198.46732593269203</v>
      </c>
      <c r="AO243" s="167">
        <f t="shared" si="59"/>
        <v>-198.46732593269203</v>
      </c>
      <c r="AP243" s="167">
        <f t="shared" si="59"/>
        <v>-198.46732593269203</v>
      </c>
      <c r="AQ243" s="167">
        <f t="shared" si="59"/>
        <v>-198.46732593269203</v>
      </c>
      <c r="AR243" s="167">
        <f t="shared" si="59"/>
        <v>-198.46732593269203</v>
      </c>
    </row>
    <row r="244" spans="2:44" s="150" customFormat="1">
      <c r="B244" s="157" t="s">
        <v>15</v>
      </c>
      <c r="C244" s="183" t="s">
        <v>143</v>
      </c>
      <c r="D244" s="168"/>
      <c r="E244" s="168"/>
      <c r="F244" s="168"/>
      <c r="G244" s="168"/>
      <c r="H244" s="168"/>
      <c r="I244" s="168"/>
      <c r="J244" s="168"/>
      <c r="K244" s="168"/>
      <c r="L244" s="168"/>
      <c r="M244" s="168"/>
      <c r="N244" s="168"/>
      <c r="O244" s="168"/>
      <c r="P244" s="168"/>
      <c r="Q244" s="168"/>
      <c r="R244" s="168"/>
      <c r="S244" s="168"/>
      <c r="T244" s="168"/>
      <c r="U244" s="168"/>
      <c r="V244" s="168"/>
      <c r="W244" s="168"/>
      <c r="X244" s="168"/>
      <c r="Y244" s="168"/>
      <c r="Z244" s="168"/>
      <c r="AA244" s="168"/>
      <c r="AB244" s="168"/>
      <c r="AC244" s="168"/>
      <c r="AD244" s="168"/>
      <c r="AE244" s="168"/>
      <c r="AF244" s="168"/>
      <c r="AG244" s="168"/>
      <c r="AH244" s="193"/>
      <c r="AI244" s="199">
        <f>IF(AI$40&gt;0,(AI$40-AI256)*1000,0)</f>
        <v>-5333.6476705271634</v>
      </c>
      <c r="AJ244" s="177">
        <f t="shared" si="61"/>
        <v>592.62751894746259</v>
      </c>
      <c r="AK244" s="168">
        <f t="shared" si="59"/>
        <v>592.62751894746259</v>
      </c>
      <c r="AL244" s="168">
        <f t="shared" si="59"/>
        <v>592.62751894746259</v>
      </c>
      <c r="AM244" s="168">
        <f t="shared" si="59"/>
        <v>592.62751894746259</v>
      </c>
      <c r="AN244" s="168">
        <f t="shared" si="59"/>
        <v>592.62751894746259</v>
      </c>
      <c r="AO244" s="168">
        <f t="shared" si="59"/>
        <v>592.62751894746259</v>
      </c>
      <c r="AP244" s="168">
        <f t="shared" si="59"/>
        <v>592.62751894746259</v>
      </c>
      <c r="AQ244" s="168">
        <f t="shared" si="59"/>
        <v>592.62751894746259</v>
      </c>
      <c r="AR244" s="168">
        <f t="shared" si="59"/>
        <v>592.62751894746259</v>
      </c>
    </row>
    <row r="245" spans="2:44" s="150" customFormat="1">
      <c r="B245" s="156" t="s">
        <v>16</v>
      </c>
      <c r="C245" s="185" t="s">
        <v>143</v>
      </c>
      <c r="D245" s="167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94"/>
      <c r="AI245" s="199">
        <f>IF(AI$41&gt;0,(AI$41-AI257)*1000,0)</f>
        <v>-4505.952455943625</v>
      </c>
      <c r="AJ245" s="179">
        <f t="shared" si="61"/>
        <v>500.66138399373608</v>
      </c>
      <c r="AK245" s="167">
        <f t="shared" si="59"/>
        <v>500.66138399373608</v>
      </c>
      <c r="AL245" s="167">
        <f t="shared" si="59"/>
        <v>500.66138399373608</v>
      </c>
      <c r="AM245" s="167">
        <f t="shared" si="59"/>
        <v>500.66138399373608</v>
      </c>
      <c r="AN245" s="167">
        <f t="shared" si="59"/>
        <v>500.66138399373608</v>
      </c>
      <c r="AO245" s="167">
        <f t="shared" si="59"/>
        <v>500.66138399373608</v>
      </c>
      <c r="AP245" s="167">
        <f t="shared" si="59"/>
        <v>500.66138399373608</v>
      </c>
      <c r="AQ245" s="167">
        <f t="shared" si="59"/>
        <v>500.66138399373608</v>
      </c>
      <c r="AR245" s="167">
        <f t="shared" si="59"/>
        <v>500.66138399373608</v>
      </c>
    </row>
    <row r="246" spans="2:44" s="150" customFormat="1">
      <c r="B246" s="157" t="s">
        <v>75</v>
      </c>
      <c r="C246" s="183" t="s">
        <v>143</v>
      </c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8"/>
      <c r="Q246" s="168"/>
      <c r="R246" s="168"/>
      <c r="S246" s="168"/>
      <c r="T246" s="168"/>
      <c r="U246" s="168"/>
      <c r="V246" s="168"/>
      <c r="W246" s="168"/>
      <c r="X246" s="168"/>
      <c r="Y246" s="168"/>
      <c r="Z246" s="168"/>
      <c r="AA246" s="168"/>
      <c r="AB246" s="168"/>
      <c r="AC246" s="168"/>
      <c r="AD246" s="168"/>
      <c r="AE246" s="168"/>
      <c r="AF246" s="168"/>
      <c r="AG246" s="168"/>
      <c r="AH246" s="182"/>
      <c r="AI246" s="181"/>
      <c r="AJ246" s="177"/>
      <c r="AK246" s="168"/>
      <c r="AL246" s="168"/>
      <c r="AM246" s="168"/>
      <c r="AN246" s="168"/>
      <c r="AO246" s="168"/>
      <c r="AP246" s="168"/>
      <c r="AQ246" s="168"/>
      <c r="AR246" s="168"/>
    </row>
    <row r="247" spans="2:44" s="150" customFormat="1" ht="15.75" thickBot="1">
      <c r="B247" s="156" t="s">
        <v>8</v>
      </c>
      <c r="C247" s="160" t="s">
        <v>297</v>
      </c>
      <c r="D247" s="167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95"/>
      <c r="AI247" s="200">
        <f>IF(AI$36&gt;0,(AI$36-AI259)*1000,0)</f>
        <v>-23366.850759995003</v>
      </c>
      <c r="AJ247" s="179">
        <f>-$AI247/9</f>
        <v>2596.3167511105557</v>
      </c>
      <c r="AK247" s="167">
        <f>-$AI247/9</f>
        <v>2596.3167511105557</v>
      </c>
      <c r="AL247" s="167">
        <f t="shared" si="59"/>
        <v>2596.3167511105557</v>
      </c>
      <c r="AM247" s="167">
        <f t="shared" si="59"/>
        <v>2596.3167511105557</v>
      </c>
      <c r="AN247" s="167">
        <f t="shared" si="59"/>
        <v>2596.3167511105557</v>
      </c>
      <c r="AO247" s="167">
        <f t="shared" si="59"/>
        <v>2596.3167511105557</v>
      </c>
      <c r="AP247" s="167">
        <f t="shared" si="59"/>
        <v>2596.3167511105557</v>
      </c>
      <c r="AQ247" s="167">
        <f t="shared" si="59"/>
        <v>2596.3167511105557</v>
      </c>
      <c r="AR247" s="167">
        <f t="shared" si="59"/>
        <v>2596.3167511105557</v>
      </c>
    </row>
    <row r="248" spans="2:44" s="150" customFormat="1">
      <c r="C248" s="162"/>
      <c r="AJ248" s="205" t="s">
        <v>103</v>
      </c>
      <c r="AK248" s="205" t="s">
        <v>103</v>
      </c>
      <c r="AL248" s="205" t="s">
        <v>103</v>
      </c>
      <c r="AM248" s="205" t="s">
        <v>103</v>
      </c>
      <c r="AN248" s="205" t="s">
        <v>103</v>
      </c>
      <c r="AO248" s="205" t="s">
        <v>103</v>
      </c>
      <c r="AP248" s="205" t="s">
        <v>103</v>
      </c>
      <c r="AQ248" s="205" t="s">
        <v>103</v>
      </c>
      <c r="AR248" s="205" t="s">
        <v>103</v>
      </c>
    </row>
    <row r="249" spans="2:44">
      <c r="B249" s="174" t="s">
        <v>295</v>
      </c>
      <c r="C249" s="163"/>
      <c r="D249" s="166"/>
      <c r="E249" s="166"/>
      <c r="F249" s="166"/>
      <c r="G249" s="166"/>
      <c r="H249" s="166"/>
      <c r="I249" s="166"/>
      <c r="J249" s="166"/>
      <c r="K249" s="166"/>
      <c r="L249" s="166"/>
      <c r="M249" s="166"/>
      <c r="N249" s="166"/>
      <c r="O249" s="166"/>
      <c r="P249" s="166"/>
      <c r="Q249" s="166"/>
      <c r="R249" s="166"/>
      <c r="S249" s="166"/>
      <c r="T249" s="166"/>
      <c r="U249" s="166"/>
      <c r="V249" s="166"/>
      <c r="W249" s="166"/>
      <c r="X249" s="166"/>
      <c r="Y249" s="166"/>
      <c r="Z249" s="166"/>
      <c r="AA249" s="166"/>
      <c r="AB249" s="166"/>
      <c r="AC249" s="166"/>
      <c r="AD249" s="166"/>
      <c r="AE249" s="166"/>
      <c r="AF249" s="166"/>
      <c r="AG249" s="166"/>
      <c r="AH249" s="166"/>
      <c r="AI249" s="166"/>
      <c r="AJ249" s="166"/>
      <c r="AK249" s="166"/>
      <c r="AL249" s="166"/>
      <c r="AM249" s="166"/>
      <c r="AN249" s="166"/>
      <c r="AO249" s="166"/>
      <c r="AP249" s="166"/>
      <c r="AQ249" s="166"/>
      <c r="AR249" s="166"/>
    </row>
    <row r="250" spans="2:44">
      <c r="B250" s="151" t="s">
        <v>69</v>
      </c>
      <c r="C250" s="158"/>
      <c r="D250" s="155">
        <v>32874</v>
      </c>
      <c r="E250" s="155">
        <v>33239</v>
      </c>
      <c r="F250" s="155">
        <v>33604</v>
      </c>
      <c r="G250" s="155">
        <v>33970</v>
      </c>
      <c r="H250" s="155">
        <v>34335</v>
      </c>
      <c r="I250" s="155">
        <v>34700</v>
      </c>
      <c r="J250" s="155">
        <v>35065</v>
      </c>
      <c r="K250" s="155">
        <v>35431</v>
      </c>
      <c r="L250" s="155">
        <v>35796</v>
      </c>
      <c r="M250" s="155">
        <v>36161</v>
      </c>
      <c r="N250" s="155">
        <v>36526</v>
      </c>
      <c r="O250" s="155">
        <v>36892</v>
      </c>
      <c r="P250" s="155">
        <v>37257</v>
      </c>
      <c r="Q250" s="155">
        <v>37622</v>
      </c>
      <c r="R250" s="155">
        <v>37987</v>
      </c>
      <c r="S250" s="155">
        <v>38353</v>
      </c>
      <c r="T250" s="155">
        <v>38718</v>
      </c>
      <c r="U250" s="155">
        <v>39083</v>
      </c>
      <c r="V250" s="155">
        <v>39448</v>
      </c>
      <c r="W250" s="155">
        <v>39814</v>
      </c>
      <c r="X250" s="155">
        <v>40179</v>
      </c>
      <c r="Y250" s="155">
        <v>40544</v>
      </c>
      <c r="Z250" s="155">
        <v>40909</v>
      </c>
      <c r="AA250" s="155">
        <v>41275</v>
      </c>
      <c r="AB250" s="155">
        <v>41640</v>
      </c>
      <c r="AC250" s="155">
        <v>42005</v>
      </c>
      <c r="AD250" s="155">
        <v>42370</v>
      </c>
      <c r="AE250" s="155">
        <v>42736</v>
      </c>
      <c r="AF250" s="155">
        <v>43101</v>
      </c>
      <c r="AG250" s="155">
        <v>43466</v>
      </c>
      <c r="AH250" s="155">
        <v>43831</v>
      </c>
      <c r="AI250" s="155">
        <v>44197</v>
      </c>
      <c r="AJ250" s="155">
        <v>44562</v>
      </c>
      <c r="AK250" s="155">
        <v>44927</v>
      </c>
      <c r="AL250" s="155">
        <v>45292</v>
      </c>
      <c r="AM250" s="155">
        <v>45658</v>
      </c>
      <c r="AN250" s="155">
        <v>46023</v>
      </c>
      <c r="AO250" s="155">
        <v>46388</v>
      </c>
      <c r="AP250" s="155">
        <v>46753</v>
      </c>
      <c r="AQ250" s="155">
        <v>47119</v>
      </c>
      <c r="AR250" s="155">
        <v>47484</v>
      </c>
    </row>
    <row r="251" spans="2:44" s="150" customFormat="1">
      <c r="B251" s="156" t="s">
        <v>296</v>
      </c>
      <c r="C251" s="185" t="s">
        <v>280</v>
      </c>
      <c r="D251" s="167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86">
        <v>813</v>
      </c>
      <c r="AI251" s="186">
        <v>786</v>
      </c>
      <c r="AJ251" s="186">
        <v>756</v>
      </c>
      <c r="AK251" s="186">
        <v>720</v>
      </c>
      <c r="AL251" s="186">
        <v>682</v>
      </c>
      <c r="AM251" s="186">
        <v>643</v>
      </c>
      <c r="AN251" s="186">
        <v>604</v>
      </c>
      <c r="AO251" s="186">
        <v>565</v>
      </c>
      <c r="AP251" s="186">
        <v>523</v>
      </c>
      <c r="AQ251" s="186">
        <v>482</v>
      </c>
      <c r="AR251" s="186">
        <v>438</v>
      </c>
    </row>
    <row r="252" spans="2:44">
      <c r="B252" s="157" t="s">
        <v>8</v>
      </c>
      <c r="C252" s="183" t="s">
        <v>142</v>
      </c>
      <c r="D252" s="168"/>
      <c r="E252" s="168"/>
      <c r="F252" s="168"/>
      <c r="G252" s="168"/>
      <c r="H252" s="168"/>
      <c r="I252" s="168"/>
      <c r="J252" s="168"/>
      <c r="K252" s="168"/>
      <c r="L252" s="168"/>
      <c r="M252" s="168"/>
      <c r="N252" s="168"/>
      <c r="O252" s="168"/>
      <c r="P252" s="168"/>
      <c r="Q252" s="168"/>
      <c r="R252" s="168"/>
      <c r="S252" s="168"/>
      <c r="T252" s="168"/>
      <c r="U252" s="168"/>
      <c r="V252" s="168"/>
      <c r="W252" s="168"/>
      <c r="X252" s="168"/>
      <c r="Y252" s="168"/>
      <c r="Z252" s="168"/>
      <c r="AA252" s="168"/>
      <c r="AB252" s="168"/>
      <c r="AC252" s="168"/>
      <c r="AD252" s="168"/>
      <c r="AE252" s="168"/>
      <c r="AF252" s="168"/>
      <c r="AG252" s="168"/>
      <c r="AH252" s="133">
        <v>280</v>
      </c>
      <c r="AI252" s="184" t="e">
        <v>#N/A</v>
      </c>
      <c r="AJ252" s="133">
        <v>257</v>
      </c>
      <c r="AK252" s="184" t="e">
        <v>#N/A</v>
      </c>
      <c r="AL252" s="184" t="e">
        <v>#N/A</v>
      </c>
      <c r="AM252" s="184" t="e">
        <v>#N/A</v>
      </c>
      <c r="AN252" s="184" t="e">
        <v>#N/A</v>
      </c>
      <c r="AO252" s="184" t="e">
        <v>#N/A</v>
      </c>
      <c r="AP252" s="184" t="e">
        <v>#N/A</v>
      </c>
      <c r="AQ252" s="184" t="e">
        <v>#N/A</v>
      </c>
      <c r="AR252" s="133">
        <v>108</v>
      </c>
    </row>
    <row r="253" spans="2:44">
      <c r="B253" s="156" t="s">
        <v>9</v>
      </c>
      <c r="C253" s="185" t="s">
        <v>142</v>
      </c>
      <c r="D253" s="167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86">
        <v>186</v>
      </c>
      <c r="AI253" s="186">
        <v>182</v>
      </c>
      <c r="AJ253" s="186">
        <v>177</v>
      </c>
      <c r="AK253" s="186">
        <v>172</v>
      </c>
      <c r="AL253" s="186">
        <v>165</v>
      </c>
      <c r="AM253" s="186">
        <v>157</v>
      </c>
      <c r="AN253" s="186">
        <v>149</v>
      </c>
      <c r="AO253" s="186">
        <v>140</v>
      </c>
      <c r="AP253" s="186">
        <v>132</v>
      </c>
      <c r="AQ253" s="186">
        <v>125</v>
      </c>
      <c r="AR253" s="186">
        <v>118</v>
      </c>
    </row>
    <row r="254" spans="2:44">
      <c r="B254" s="180" t="s">
        <v>10</v>
      </c>
      <c r="C254" s="183" t="s">
        <v>142</v>
      </c>
      <c r="D254" s="168"/>
      <c r="E254" s="168"/>
      <c r="F254" s="168"/>
      <c r="G254" s="168"/>
      <c r="H254" s="168"/>
      <c r="I254" s="168"/>
      <c r="J254" s="168"/>
      <c r="K254" s="168"/>
      <c r="L254" s="168"/>
      <c r="M254" s="168"/>
      <c r="N254" s="168"/>
      <c r="O254" s="168"/>
      <c r="P254" s="168"/>
      <c r="Q254" s="168"/>
      <c r="R254" s="168"/>
      <c r="S254" s="168"/>
      <c r="T254" s="168"/>
      <c r="U254" s="168"/>
      <c r="V254" s="168"/>
      <c r="W254" s="168"/>
      <c r="X254" s="168"/>
      <c r="Y254" s="168"/>
      <c r="Z254" s="168"/>
      <c r="AA254" s="168"/>
      <c r="AB254" s="168"/>
      <c r="AC254" s="168"/>
      <c r="AD254" s="168"/>
      <c r="AE254" s="168"/>
      <c r="AF254" s="168"/>
      <c r="AG254" s="168"/>
      <c r="AH254" s="184">
        <v>118</v>
      </c>
      <c r="AI254" s="184">
        <v>113</v>
      </c>
      <c r="AJ254" s="184">
        <v>108</v>
      </c>
      <c r="AK254" s="184">
        <v>102</v>
      </c>
      <c r="AL254" s="184">
        <v>97</v>
      </c>
      <c r="AM254" s="184">
        <v>92</v>
      </c>
      <c r="AN254" s="184">
        <v>87</v>
      </c>
      <c r="AO254" s="184">
        <v>82</v>
      </c>
      <c r="AP254" s="184">
        <v>77</v>
      </c>
      <c r="AQ254" s="184">
        <v>72</v>
      </c>
      <c r="AR254" s="184">
        <v>67</v>
      </c>
    </row>
    <row r="255" spans="2:44">
      <c r="B255" s="156" t="s">
        <v>14</v>
      </c>
      <c r="C255" s="185" t="s">
        <v>142</v>
      </c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73"/>
      <c r="O255" s="173"/>
      <c r="P255" s="173"/>
      <c r="Q255" s="173"/>
      <c r="R255" s="173"/>
      <c r="S255" s="173"/>
      <c r="T255" s="173"/>
      <c r="U255" s="173"/>
      <c r="V255" s="173"/>
      <c r="W255" s="173"/>
      <c r="X255" s="173"/>
      <c r="Y255" s="173"/>
      <c r="Z255" s="173"/>
      <c r="AA255" s="173"/>
      <c r="AB255" s="173"/>
      <c r="AC255" s="173"/>
      <c r="AD255" s="173"/>
      <c r="AE255" s="173"/>
      <c r="AF255" s="173"/>
      <c r="AG255" s="173"/>
      <c r="AH255" s="186">
        <v>150</v>
      </c>
      <c r="AI255" s="186">
        <v>145</v>
      </c>
      <c r="AJ255" s="186">
        <v>139</v>
      </c>
      <c r="AK255" s="186">
        <v>134</v>
      </c>
      <c r="AL255" s="186">
        <v>128</v>
      </c>
      <c r="AM255" s="186">
        <v>123</v>
      </c>
      <c r="AN255" s="186">
        <v>117</v>
      </c>
      <c r="AO255" s="186">
        <v>112</v>
      </c>
      <c r="AP255" s="186">
        <v>105</v>
      </c>
      <c r="AQ255" s="186">
        <v>96</v>
      </c>
      <c r="AR255" s="186">
        <v>85</v>
      </c>
    </row>
    <row r="256" spans="2:44">
      <c r="B256" s="157" t="s">
        <v>15</v>
      </c>
      <c r="C256" s="183" t="s">
        <v>142</v>
      </c>
      <c r="D256" s="168"/>
      <c r="E256" s="168"/>
      <c r="F256" s="168"/>
      <c r="G256" s="168"/>
      <c r="H256" s="168"/>
      <c r="I256" s="168"/>
      <c r="J256" s="168"/>
      <c r="K256" s="168"/>
      <c r="L256" s="168"/>
      <c r="M256" s="168"/>
      <c r="N256" s="168"/>
      <c r="O256" s="168"/>
      <c r="P256" s="168"/>
      <c r="Q256" s="168"/>
      <c r="R256" s="168"/>
      <c r="S256" s="168"/>
      <c r="T256" s="168"/>
      <c r="U256" s="168"/>
      <c r="V256" s="168"/>
      <c r="W256" s="168"/>
      <c r="X256" s="168"/>
      <c r="Y256" s="168"/>
      <c r="Z256" s="168"/>
      <c r="AA256" s="168"/>
      <c r="AB256" s="168"/>
      <c r="AC256" s="168"/>
      <c r="AD256" s="168"/>
      <c r="AE256" s="168"/>
      <c r="AF256" s="168"/>
      <c r="AG256" s="168"/>
      <c r="AH256" s="184">
        <v>70</v>
      </c>
      <c r="AI256" s="184">
        <v>68</v>
      </c>
      <c r="AJ256" s="184">
        <v>67</v>
      </c>
      <c r="AK256" s="184">
        <v>66</v>
      </c>
      <c r="AL256" s="184">
        <v>65</v>
      </c>
      <c r="AM256" s="184">
        <v>63</v>
      </c>
      <c r="AN256" s="184">
        <v>62</v>
      </c>
      <c r="AO256" s="184">
        <v>61</v>
      </c>
      <c r="AP256" s="184">
        <v>59</v>
      </c>
      <c r="AQ256" s="184">
        <v>57</v>
      </c>
      <c r="AR256" s="184">
        <v>56</v>
      </c>
    </row>
    <row r="257" spans="2:44">
      <c r="B257" s="156" t="s">
        <v>16</v>
      </c>
      <c r="C257" s="185" t="s">
        <v>142</v>
      </c>
      <c r="D257" s="167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86">
        <v>9</v>
      </c>
      <c r="AI257" s="186">
        <v>9</v>
      </c>
      <c r="AJ257" s="186">
        <v>8</v>
      </c>
      <c r="AK257" s="186">
        <v>8</v>
      </c>
      <c r="AL257" s="186">
        <v>7</v>
      </c>
      <c r="AM257" s="186">
        <v>7</v>
      </c>
      <c r="AN257" s="186">
        <v>6</v>
      </c>
      <c r="AO257" s="186">
        <v>6</v>
      </c>
      <c r="AP257" s="186">
        <v>5</v>
      </c>
      <c r="AQ257" s="186">
        <v>5</v>
      </c>
      <c r="AR257" s="186">
        <v>4</v>
      </c>
    </row>
    <row r="258" spans="2:44">
      <c r="B258" s="157" t="s">
        <v>75</v>
      </c>
      <c r="C258" s="183" t="s">
        <v>142</v>
      </c>
      <c r="D258" s="168"/>
      <c r="E258" s="168"/>
      <c r="F258" s="168"/>
      <c r="G258" s="168"/>
      <c r="H258" s="168"/>
      <c r="I258" s="168"/>
      <c r="J258" s="168"/>
      <c r="K258" s="168"/>
      <c r="L258" s="168"/>
      <c r="M258" s="168"/>
      <c r="N258" s="168"/>
      <c r="O258" s="168"/>
      <c r="P258" s="168"/>
      <c r="Q258" s="168"/>
      <c r="R258" s="168"/>
      <c r="S258" s="168"/>
      <c r="T258" s="168"/>
      <c r="U258" s="168"/>
      <c r="V258" s="168"/>
      <c r="W258" s="168"/>
      <c r="X258" s="168"/>
      <c r="Y258" s="168"/>
      <c r="Z258" s="168"/>
      <c r="AA258" s="168"/>
      <c r="AB258" s="168"/>
      <c r="AC258" s="168"/>
      <c r="AD258" s="168"/>
      <c r="AE258" s="168"/>
      <c r="AF258" s="168"/>
      <c r="AG258" s="168"/>
      <c r="AH258" s="171"/>
      <c r="AI258" s="171"/>
      <c r="AJ258" s="171"/>
      <c r="AK258" s="171"/>
      <c r="AL258" s="171"/>
      <c r="AM258" s="171"/>
      <c r="AN258" s="171"/>
      <c r="AO258" s="171"/>
      <c r="AP258" s="171"/>
      <c r="AQ258" s="171"/>
      <c r="AR258" s="171"/>
    </row>
    <row r="259" spans="2:44">
      <c r="B259" s="156" t="s">
        <v>8</v>
      </c>
      <c r="C259" s="160" t="s">
        <v>297</v>
      </c>
      <c r="D259" s="167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33">
        <v>280</v>
      </c>
      <c r="AI259" s="184">
        <f>(AH259+AJ259)/2</f>
        <v>268.5</v>
      </c>
      <c r="AJ259" s="133">
        <v>257</v>
      </c>
      <c r="AK259" s="184">
        <f>$AJ$252-1*($AJ$252-$AR$252)/8</f>
        <v>238.375</v>
      </c>
      <c r="AL259" s="184">
        <f>$AJ$252-2*($AJ$252-$AR$252)/8</f>
        <v>219.75</v>
      </c>
      <c r="AM259" s="184">
        <f>$AJ$252-3*($AJ$252-$AR$252)/8</f>
        <v>201.125</v>
      </c>
      <c r="AN259" s="184">
        <f>$AJ$252-4*($AJ$252-$AR$252)/8</f>
        <v>182.5</v>
      </c>
      <c r="AO259" s="184">
        <f>$AJ$252-5*($AJ$252-$AR$252)/8</f>
        <v>163.875</v>
      </c>
      <c r="AP259" s="184">
        <f>$AJ$252-6*($AJ$252-$AR$252)/8</f>
        <v>145.25</v>
      </c>
      <c r="AQ259" s="184">
        <f>$AJ$252-7*($AJ$252-$AR$252)/8</f>
        <v>126.625</v>
      </c>
      <c r="AR259" s="133">
        <v>108</v>
      </c>
    </row>
    <row r="260" spans="2:44">
      <c r="B260" s="156" t="s">
        <v>294</v>
      </c>
      <c r="C260" s="160" t="s">
        <v>293</v>
      </c>
      <c r="D260" s="167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72">
        <f>AH252-SUM(AH254:AH258)</f>
        <v>-67</v>
      </c>
      <c r="AI260" s="172" t="e">
        <f>AI252-SUM(AI254:AI258)</f>
        <v>#N/A</v>
      </c>
      <c r="AJ260" s="172">
        <f>AJ252-SUM(AJ254:AJ258)</f>
        <v>-65</v>
      </c>
      <c r="AK260" s="172" t="e">
        <f t="shared" ref="AK260:AR260" si="62">AK252-SUM(AK254:AK258)</f>
        <v>#N/A</v>
      </c>
      <c r="AL260" s="172" t="e">
        <f t="shared" si="62"/>
        <v>#N/A</v>
      </c>
      <c r="AM260" s="172" t="e">
        <f t="shared" si="62"/>
        <v>#N/A</v>
      </c>
      <c r="AN260" s="172" t="e">
        <f t="shared" si="62"/>
        <v>#N/A</v>
      </c>
      <c r="AO260" s="172" t="e">
        <f t="shared" si="62"/>
        <v>#N/A</v>
      </c>
      <c r="AP260" s="172" t="e">
        <f t="shared" si="62"/>
        <v>#N/A</v>
      </c>
      <c r="AQ260" s="172" t="e">
        <f t="shared" si="62"/>
        <v>#N/A</v>
      </c>
      <c r="AR260" s="172">
        <f t="shared" si="62"/>
        <v>-104</v>
      </c>
    </row>
  </sheetData>
  <mergeCells count="2">
    <mergeCell ref="AH31:AI31"/>
    <mergeCell ref="AH44:AI44"/>
  </mergeCells>
  <phoneticPr fontId="45" type="noConversion"/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2531B-4DAB-4A89-9AA4-85FDF40CE0FC}">
  <sheetPr>
    <tabColor theme="7" tint="0.59999389629810485"/>
    <pageSetUpPr fitToPage="1"/>
  </sheetPr>
  <dimension ref="A1:X35"/>
  <sheetViews>
    <sheetView showGridLines="0" zoomScale="130" zoomScaleNormal="130" zoomScaleSheetLayoutView="110" workbookViewId="0">
      <selection activeCell="O21" sqref="O21"/>
    </sheetView>
  </sheetViews>
  <sheetFormatPr baseColWidth="10" defaultColWidth="11.42578125" defaultRowHeight="12.75"/>
  <cols>
    <col min="1" max="1" width="5.7109375" style="41" customWidth="1"/>
    <col min="2" max="2" width="4.28515625" style="41" customWidth="1"/>
    <col min="3" max="3" width="1.7109375" style="41" customWidth="1"/>
    <col min="4" max="4" width="14" style="41" customWidth="1"/>
    <col min="5" max="5" width="1.7109375" style="41" customWidth="1"/>
    <col min="6" max="6" width="14" style="41" customWidth="1"/>
    <col min="7" max="7" width="1.7109375" style="41" customWidth="1"/>
    <col min="8" max="8" width="14" style="41" customWidth="1"/>
    <col min="9" max="9" width="1.7109375" style="41" customWidth="1"/>
    <col min="10" max="10" width="14" style="41" customWidth="1"/>
    <col min="11" max="11" width="1.7109375" style="41" customWidth="1"/>
    <col min="12" max="12" width="14" style="41" customWidth="1"/>
    <col min="13" max="13" width="3.140625" style="41" customWidth="1"/>
    <col min="14" max="14" width="1.42578125" style="41" customWidth="1"/>
    <col min="15" max="15" width="15.140625" style="41" customWidth="1"/>
    <col min="16" max="16" width="2.5703125" style="42" customWidth="1"/>
    <col min="17" max="19" width="11.7109375" style="42" customWidth="1"/>
    <col min="20" max="20" width="4" style="42" customWidth="1"/>
    <col min="21" max="22" width="11.7109375" style="42" customWidth="1"/>
    <col min="23" max="23" width="19.140625" style="42" customWidth="1"/>
    <col min="24" max="24" width="2.5703125" style="42" customWidth="1"/>
    <col min="25" max="16384" width="11.42578125" style="42"/>
  </cols>
  <sheetData>
    <row r="1" spans="1:24" ht="20.25" customHeight="1">
      <c r="A1" s="40"/>
    </row>
    <row r="2" spans="1:24" ht="20.2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P2" s="225" t="s">
        <v>62</v>
      </c>
      <c r="Q2" s="226"/>
      <c r="R2" s="226"/>
      <c r="S2" s="226"/>
      <c r="T2" s="226"/>
      <c r="U2" s="226"/>
      <c r="V2" s="226"/>
      <c r="W2" s="226"/>
      <c r="X2" s="227"/>
    </row>
    <row r="3" spans="1:24" ht="18.7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P3" s="45"/>
      <c r="Q3" s="46"/>
      <c r="R3" s="47"/>
      <c r="S3" s="46"/>
      <c r="T3" s="46"/>
      <c r="U3" s="47"/>
      <c r="V3" s="46"/>
      <c r="W3" s="46"/>
      <c r="X3" s="48"/>
    </row>
    <row r="4" spans="1:24" ht="15.9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P4" s="45"/>
      <c r="Q4" s="46"/>
      <c r="R4" s="46"/>
      <c r="S4" s="46"/>
      <c r="T4" s="46"/>
      <c r="U4" s="46"/>
      <c r="V4" s="46"/>
      <c r="W4" s="46"/>
      <c r="X4" s="48"/>
    </row>
    <row r="5" spans="1:24" ht="7.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P5" s="50"/>
      <c r="Q5" s="51"/>
      <c r="R5" s="51"/>
      <c r="S5" s="51"/>
      <c r="T5" s="51"/>
      <c r="U5" s="51"/>
      <c r="V5" s="51"/>
      <c r="W5" s="51"/>
      <c r="X5" s="52"/>
    </row>
    <row r="6" spans="1:24" ht="16.5" customHeight="1">
      <c r="B6" s="53"/>
      <c r="P6" s="50"/>
      <c r="Q6" s="51"/>
      <c r="R6" s="51"/>
      <c r="S6" s="51"/>
      <c r="T6" s="51"/>
      <c r="U6" s="51"/>
      <c r="V6" s="51"/>
      <c r="W6" s="51"/>
      <c r="X6" s="52"/>
    </row>
    <row r="7" spans="1:24" ht="16.5" customHeight="1">
      <c r="B7" s="53"/>
      <c r="P7" s="50"/>
      <c r="Q7" s="51"/>
      <c r="R7" s="51"/>
      <c r="S7" s="51"/>
      <c r="T7" s="51"/>
      <c r="U7" s="51"/>
      <c r="V7" s="51"/>
      <c r="W7" s="51"/>
      <c r="X7" s="52"/>
    </row>
    <row r="8" spans="1:24" ht="16.5" customHeight="1">
      <c r="B8" s="53"/>
      <c r="P8" s="50"/>
      <c r="Q8" s="51"/>
      <c r="R8" s="51"/>
      <c r="S8" s="51"/>
      <c r="T8" s="51"/>
      <c r="U8" s="51"/>
      <c r="V8" s="51"/>
      <c r="W8" s="51"/>
      <c r="X8" s="52"/>
    </row>
    <row r="9" spans="1:24" ht="16.5" customHeight="1">
      <c r="B9" s="53"/>
      <c r="P9" s="50"/>
      <c r="Q9" s="51"/>
      <c r="R9" s="51"/>
      <c r="S9" s="51"/>
      <c r="T9" s="51"/>
      <c r="U9" s="51"/>
      <c r="V9" s="51"/>
      <c r="W9" s="51"/>
      <c r="X9" s="52"/>
    </row>
    <row r="10" spans="1:24" ht="16.5" customHeight="1">
      <c r="B10" s="53"/>
      <c r="P10" s="50"/>
      <c r="Q10" s="51"/>
      <c r="R10" s="51"/>
      <c r="S10" s="51"/>
      <c r="T10" s="51"/>
      <c r="U10" s="51"/>
      <c r="V10" s="51"/>
      <c r="W10" s="51"/>
      <c r="X10" s="52"/>
    </row>
    <row r="11" spans="1:24" ht="16.5" customHeight="1">
      <c r="B11" s="53"/>
      <c r="P11" s="50"/>
      <c r="Q11" s="54" t="s">
        <v>61</v>
      </c>
      <c r="R11" s="51"/>
      <c r="S11" s="51"/>
      <c r="T11" s="51"/>
      <c r="U11" s="51"/>
      <c r="V11" s="51"/>
      <c r="W11" s="51"/>
      <c r="X11" s="52"/>
    </row>
    <row r="12" spans="1:24" ht="16.5" customHeight="1">
      <c r="B12" s="53"/>
      <c r="P12" s="50"/>
      <c r="Q12" s="51"/>
      <c r="R12" s="51"/>
      <c r="S12" s="51"/>
      <c r="T12" s="51"/>
      <c r="U12" s="51"/>
      <c r="V12" s="51"/>
      <c r="W12" s="51"/>
      <c r="X12" s="52"/>
    </row>
    <row r="13" spans="1:24" ht="17.25" customHeight="1">
      <c r="B13" s="53"/>
      <c r="P13" s="50"/>
      <c r="Q13" s="54" t="s">
        <v>60</v>
      </c>
      <c r="R13" s="51"/>
      <c r="S13" s="51"/>
      <c r="T13" s="51"/>
      <c r="U13" s="51"/>
      <c r="V13" s="51"/>
      <c r="W13" s="51"/>
      <c r="X13" s="52"/>
    </row>
    <row r="14" spans="1:24" ht="16.5" customHeight="1">
      <c r="B14" s="53"/>
      <c r="P14" s="50"/>
      <c r="Q14" s="51"/>
      <c r="R14" s="51"/>
      <c r="S14" s="51"/>
      <c r="T14" s="51"/>
      <c r="U14" s="51"/>
      <c r="V14" s="51"/>
      <c r="W14" s="51"/>
      <c r="X14" s="52"/>
    </row>
    <row r="15" spans="1:24" ht="16.5" customHeight="1">
      <c r="A15" s="55"/>
      <c r="B15" s="5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0"/>
      <c r="Q15" s="51"/>
      <c r="R15" s="54" t="s">
        <v>59</v>
      </c>
      <c r="S15" s="51"/>
      <c r="T15" s="51"/>
      <c r="U15" s="54" t="s">
        <v>59</v>
      </c>
      <c r="V15" s="51"/>
      <c r="W15" s="51"/>
      <c r="X15" s="52"/>
    </row>
    <row r="16" spans="1:24" ht="16.5" customHeight="1">
      <c r="A16" s="55"/>
      <c r="B16" s="56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0"/>
      <c r="Q16" s="51"/>
      <c r="R16" s="51"/>
      <c r="S16" s="51"/>
      <c r="T16" s="51"/>
      <c r="U16" s="51"/>
      <c r="V16" s="51"/>
      <c r="W16" s="51"/>
      <c r="X16" s="52"/>
    </row>
    <row r="17" spans="1:24" ht="16.5" customHeight="1">
      <c r="A17" s="55"/>
      <c r="B17" s="56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0"/>
      <c r="Q17" s="51"/>
      <c r="R17" s="51"/>
      <c r="S17" s="51"/>
      <c r="T17" s="51"/>
      <c r="U17" s="51"/>
      <c r="V17" s="51"/>
      <c r="W17" s="51"/>
      <c r="X17" s="52"/>
    </row>
    <row r="18" spans="1:24" ht="22.5" customHeight="1">
      <c r="A18" s="55"/>
      <c r="B18" s="56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0"/>
      <c r="Q18" s="51"/>
      <c r="R18" s="51"/>
      <c r="S18" s="51"/>
      <c r="T18" s="51"/>
      <c r="U18" s="51"/>
      <c r="V18" s="51"/>
      <c r="W18" s="51"/>
      <c r="X18" s="52"/>
    </row>
    <row r="19" spans="1:24" ht="87" customHeight="1">
      <c r="A19" s="57"/>
      <c r="B19" s="58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5"/>
      <c r="O19" s="55"/>
      <c r="P19" s="59"/>
      <c r="Q19" s="60"/>
      <c r="R19" s="60"/>
      <c r="S19" s="60"/>
      <c r="T19" s="60"/>
      <c r="U19" s="60"/>
      <c r="V19" s="60"/>
      <c r="W19" s="60"/>
      <c r="X19" s="61"/>
    </row>
    <row r="20" spans="1:24" ht="9" customHeight="1">
      <c r="A20" s="57"/>
      <c r="B20" s="58"/>
      <c r="C20" s="57"/>
      <c r="D20" s="224"/>
      <c r="E20" s="57"/>
      <c r="F20" s="224"/>
      <c r="G20" s="57"/>
      <c r="H20" s="224"/>
      <c r="I20" s="57"/>
      <c r="J20" s="224"/>
      <c r="K20" s="57"/>
      <c r="L20" s="224"/>
      <c r="M20" s="57"/>
      <c r="N20" s="55"/>
      <c r="O20" s="55"/>
    </row>
    <row r="21" spans="1:24" ht="11.25" customHeight="1">
      <c r="A21" s="57"/>
      <c r="B21" s="58"/>
      <c r="C21" s="57"/>
      <c r="D21" s="224"/>
      <c r="E21" s="57"/>
      <c r="F21" s="224"/>
      <c r="G21" s="57"/>
      <c r="H21" s="224"/>
      <c r="I21" s="57"/>
      <c r="J21" s="224"/>
      <c r="K21" s="57"/>
      <c r="L21" s="224"/>
      <c r="M21" s="57"/>
      <c r="N21" s="55"/>
      <c r="O21" s="55"/>
    </row>
    <row r="22" spans="1:24" ht="3.75" customHeight="1">
      <c r="A22" s="57"/>
      <c r="B22" s="58"/>
      <c r="C22" s="57"/>
      <c r="D22" s="62"/>
      <c r="E22" s="57"/>
      <c r="F22" s="62"/>
      <c r="G22" s="57"/>
      <c r="H22" s="62"/>
      <c r="I22" s="57"/>
      <c r="J22" s="62"/>
      <c r="K22" s="57"/>
      <c r="L22" s="62"/>
      <c r="M22" s="57"/>
      <c r="N22" s="55"/>
      <c r="O22" s="55"/>
    </row>
    <row r="23" spans="1:24" ht="9" customHeight="1">
      <c r="A23" s="57"/>
      <c r="B23" s="58"/>
      <c r="C23" s="57"/>
      <c r="D23" s="224"/>
      <c r="E23" s="57"/>
      <c r="F23" s="224"/>
      <c r="G23" s="57"/>
      <c r="H23" s="224"/>
      <c r="I23" s="57"/>
      <c r="J23" s="224"/>
      <c r="K23" s="57"/>
      <c r="L23" s="224"/>
      <c r="M23" s="57"/>
      <c r="N23" s="55"/>
      <c r="O23" s="55"/>
    </row>
    <row r="24" spans="1:24" ht="9" customHeight="1">
      <c r="A24" s="57"/>
      <c r="B24" s="58"/>
      <c r="C24" s="57"/>
      <c r="D24" s="224"/>
      <c r="E24" s="57"/>
      <c r="F24" s="224"/>
      <c r="G24" s="57"/>
      <c r="H24" s="224"/>
      <c r="I24" s="57"/>
      <c r="J24" s="224"/>
      <c r="K24" s="57"/>
      <c r="L24" s="224"/>
      <c r="M24" s="57"/>
      <c r="N24" s="55"/>
      <c r="O24" s="55"/>
    </row>
    <row r="25" spans="1:24" ht="16.5" customHeight="1">
      <c r="A25" s="55"/>
      <c r="B25" s="56"/>
      <c r="C25" s="63"/>
      <c r="D25" s="63"/>
      <c r="E25" s="63"/>
      <c r="F25" s="63"/>
      <c r="G25" s="63"/>
      <c r="H25" s="63"/>
      <c r="I25" s="63"/>
      <c r="J25" s="63"/>
      <c r="K25" s="63"/>
      <c r="L25" s="55"/>
      <c r="M25" s="55"/>
      <c r="N25" s="55"/>
      <c r="O25" s="55"/>
    </row>
    <row r="26" spans="1:24" ht="21.7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</row>
    <row r="27" spans="1:24" ht="6.75" customHeight="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</row>
    <row r="28" spans="1:24" ht="6" customHeight="1">
      <c r="A28" s="64"/>
      <c r="B28" s="64"/>
      <c r="C28" s="6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</row>
    <row r="29" spans="1:24" ht="4.5" customHeight="1">
      <c r="A29" s="64"/>
      <c r="B29" s="64"/>
      <c r="C29" s="6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</row>
    <row r="30" spans="1:24" ht="6" customHeight="1">
      <c r="A30" s="64"/>
      <c r="B30" s="64"/>
      <c r="C30" s="64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</row>
    <row r="31" spans="1:24" ht="6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</row>
    <row r="32" spans="1:24" ht="4.5" customHeight="1">
      <c r="A32" s="55"/>
      <c r="B32" s="55"/>
      <c r="C32" s="55"/>
      <c r="D32" s="55"/>
      <c r="E32" s="55"/>
      <c r="F32" s="55"/>
      <c r="G32" s="66"/>
      <c r="H32" s="66"/>
      <c r="I32" s="66"/>
      <c r="J32" s="66"/>
      <c r="K32" s="66"/>
      <c r="L32" s="55"/>
      <c r="M32" s="55"/>
      <c r="N32" s="55"/>
      <c r="O32" s="55"/>
    </row>
    <row r="33" spans="1:15" ht="18" customHeight="1">
      <c r="A33" s="67"/>
      <c r="B33" s="67"/>
      <c r="C33" s="67"/>
      <c r="D33" s="67"/>
      <c r="E33" s="67"/>
      <c r="F33" s="66"/>
      <c r="G33" s="66"/>
      <c r="H33" s="66"/>
      <c r="I33" s="66"/>
      <c r="J33" s="66"/>
      <c r="K33" s="66"/>
      <c r="L33" s="55"/>
      <c r="M33" s="55"/>
      <c r="N33" s="55"/>
      <c r="O33" s="55"/>
    </row>
    <row r="34" spans="1:15">
      <c r="A34" s="67"/>
      <c r="B34" s="67"/>
      <c r="C34" s="67"/>
      <c r="D34" s="67"/>
      <c r="E34" s="67"/>
      <c r="F34" s="66"/>
      <c r="G34" s="66"/>
      <c r="H34" s="66"/>
      <c r="I34" s="66"/>
      <c r="J34" s="66"/>
      <c r="K34" s="66"/>
      <c r="L34" s="55"/>
      <c r="M34" s="55"/>
      <c r="N34" s="55"/>
      <c r="O34" s="55"/>
    </row>
    <row r="35" spans="1:15">
      <c r="A35" s="67"/>
      <c r="B35" s="67"/>
      <c r="C35" s="67"/>
      <c r="D35" s="67"/>
      <c r="E35" s="67"/>
      <c r="F35" s="66"/>
      <c r="G35" s="66"/>
      <c r="H35" s="66"/>
      <c r="I35" s="66"/>
      <c r="J35" s="66"/>
      <c r="K35" s="66"/>
      <c r="L35" s="55"/>
      <c r="M35" s="55"/>
      <c r="N35" s="55"/>
      <c r="O35" s="55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E0523-20D8-4E93-8552-B72889956EDD}">
  <sheetPr>
    <tabColor theme="7" tint="0.59999389629810485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1" customWidth="1"/>
    <col min="2" max="2" width="4.28515625" style="41" customWidth="1"/>
    <col min="3" max="3" width="1.7109375" style="41" customWidth="1"/>
    <col min="4" max="4" width="14" style="41" customWidth="1"/>
    <col min="5" max="5" width="1.7109375" style="41" customWidth="1"/>
    <col min="6" max="6" width="14" style="41" customWidth="1"/>
    <col min="7" max="7" width="1.7109375" style="41" customWidth="1"/>
    <col min="8" max="8" width="14" style="41" customWidth="1"/>
    <col min="9" max="9" width="1.7109375" style="41" customWidth="1"/>
    <col min="10" max="10" width="14" style="41" customWidth="1"/>
    <col min="11" max="11" width="1.7109375" style="41" customWidth="1"/>
    <col min="12" max="12" width="14" style="41" customWidth="1"/>
    <col min="13" max="13" width="3.140625" style="41" customWidth="1"/>
    <col min="14" max="14" width="1.42578125" style="41" customWidth="1"/>
    <col min="15" max="15" width="15.140625" style="41" customWidth="1"/>
    <col min="16" max="16" width="2.5703125" style="42" customWidth="1"/>
    <col min="17" max="19" width="11.7109375" style="42" customWidth="1"/>
    <col min="20" max="20" width="4" style="42" customWidth="1"/>
    <col min="21" max="22" width="11.7109375" style="42" customWidth="1"/>
    <col min="23" max="23" width="19.140625" style="42" customWidth="1"/>
    <col min="24" max="24" width="2.5703125" style="42" customWidth="1"/>
    <col min="25" max="16384" width="11.42578125" style="42"/>
  </cols>
  <sheetData>
    <row r="1" spans="1:24" ht="20.25" customHeight="1">
      <c r="A1" s="40"/>
    </row>
    <row r="2" spans="1:24" ht="20.2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P2" s="225" t="s">
        <v>62</v>
      </c>
      <c r="Q2" s="226"/>
      <c r="R2" s="226"/>
      <c r="S2" s="226"/>
      <c r="T2" s="226"/>
      <c r="U2" s="226"/>
      <c r="V2" s="226"/>
      <c r="W2" s="226"/>
      <c r="X2" s="227"/>
    </row>
    <row r="3" spans="1:24" ht="18.7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P3" s="45"/>
      <c r="Q3" s="46"/>
      <c r="R3" s="47"/>
      <c r="S3" s="46"/>
      <c r="T3" s="46"/>
      <c r="U3" s="47"/>
      <c r="V3" s="46"/>
      <c r="W3" s="46"/>
      <c r="X3" s="48"/>
    </row>
    <row r="4" spans="1:24" ht="15.9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P4" s="45"/>
      <c r="Q4" s="46"/>
      <c r="R4" s="46"/>
      <c r="S4" s="46"/>
      <c r="T4" s="46"/>
      <c r="U4" s="46"/>
      <c r="V4" s="46"/>
      <c r="W4" s="46"/>
      <c r="X4" s="48"/>
    </row>
    <row r="5" spans="1:24" ht="7.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P5" s="50"/>
      <c r="Q5" s="51"/>
      <c r="R5" s="51"/>
      <c r="S5" s="51"/>
      <c r="T5" s="51"/>
      <c r="U5" s="51"/>
      <c r="V5" s="51"/>
      <c r="W5" s="51"/>
      <c r="X5" s="52"/>
    </row>
    <row r="6" spans="1:24" ht="16.5" customHeight="1">
      <c r="B6" s="53"/>
      <c r="P6" s="50"/>
      <c r="Q6" s="51"/>
      <c r="R6" s="51"/>
      <c r="S6" s="51"/>
      <c r="T6" s="51"/>
      <c r="U6" s="51"/>
      <c r="V6" s="51"/>
      <c r="W6" s="51"/>
      <c r="X6" s="52"/>
    </row>
    <row r="7" spans="1:24" ht="16.5" customHeight="1">
      <c r="B7" s="53"/>
      <c r="P7" s="50"/>
      <c r="Q7" s="51"/>
      <c r="R7" s="51"/>
      <c r="S7" s="51"/>
      <c r="T7" s="51"/>
      <c r="U7" s="51"/>
      <c r="V7" s="51"/>
      <c r="W7" s="51"/>
      <c r="X7" s="52"/>
    </row>
    <row r="8" spans="1:24" ht="16.5" customHeight="1">
      <c r="B8" s="53"/>
      <c r="P8" s="50"/>
      <c r="Q8" s="51"/>
      <c r="R8" s="51"/>
      <c r="S8" s="51"/>
      <c r="T8" s="51"/>
      <c r="U8" s="51"/>
      <c r="V8" s="51"/>
      <c r="W8" s="51"/>
      <c r="X8" s="52"/>
    </row>
    <row r="9" spans="1:24" ht="16.5" customHeight="1">
      <c r="B9" s="53"/>
      <c r="P9" s="50"/>
      <c r="Q9" s="51"/>
      <c r="R9" s="51"/>
      <c r="S9" s="51"/>
      <c r="T9" s="51"/>
      <c r="U9" s="51"/>
      <c r="V9" s="51"/>
      <c r="W9" s="51"/>
      <c r="X9" s="52"/>
    </row>
    <row r="10" spans="1:24" ht="16.5" customHeight="1">
      <c r="B10" s="53"/>
      <c r="P10" s="50"/>
      <c r="Q10" s="51"/>
      <c r="R10" s="51"/>
      <c r="S10" s="51"/>
      <c r="T10" s="51"/>
      <c r="U10" s="51"/>
      <c r="V10" s="51"/>
      <c r="W10" s="51"/>
      <c r="X10" s="52"/>
    </row>
    <row r="11" spans="1:24" ht="16.5" customHeight="1">
      <c r="B11" s="53"/>
      <c r="P11" s="50"/>
      <c r="Q11" s="54" t="s">
        <v>61</v>
      </c>
      <c r="R11" s="51"/>
      <c r="S11" s="51"/>
      <c r="T11" s="51"/>
      <c r="U11" s="51"/>
      <c r="V11" s="51"/>
      <c r="W11" s="51"/>
      <c r="X11" s="52"/>
    </row>
    <row r="12" spans="1:24" ht="16.5" customHeight="1">
      <c r="B12" s="53"/>
      <c r="P12" s="50"/>
      <c r="Q12" s="51"/>
      <c r="R12" s="51"/>
      <c r="S12" s="51"/>
      <c r="T12" s="51"/>
      <c r="U12" s="51"/>
      <c r="V12" s="51"/>
      <c r="W12" s="51"/>
      <c r="X12" s="52"/>
    </row>
    <row r="13" spans="1:24" ht="17.25" customHeight="1">
      <c r="B13" s="53"/>
      <c r="P13" s="50"/>
      <c r="Q13" s="54" t="s">
        <v>60</v>
      </c>
      <c r="R13" s="51"/>
      <c r="S13" s="51"/>
      <c r="T13" s="51"/>
      <c r="U13" s="51"/>
      <c r="V13" s="51"/>
      <c r="W13" s="51"/>
      <c r="X13" s="52"/>
    </row>
    <row r="14" spans="1:24" ht="16.5" customHeight="1">
      <c r="B14" s="53"/>
      <c r="P14" s="50"/>
      <c r="Q14" s="51"/>
      <c r="R14" s="51"/>
      <c r="S14" s="51"/>
      <c r="T14" s="51"/>
      <c r="U14" s="51"/>
      <c r="V14" s="51"/>
      <c r="W14" s="51"/>
      <c r="X14" s="52"/>
    </row>
    <row r="15" spans="1:24" ht="16.5" customHeight="1">
      <c r="A15" s="55"/>
      <c r="B15" s="5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0"/>
      <c r="Q15" s="51"/>
      <c r="R15" s="54" t="s">
        <v>59</v>
      </c>
      <c r="S15" s="51"/>
      <c r="T15" s="51"/>
      <c r="U15" s="54" t="s">
        <v>59</v>
      </c>
      <c r="V15" s="51"/>
      <c r="W15" s="51"/>
      <c r="X15" s="52"/>
    </row>
    <row r="16" spans="1:24" ht="16.5" customHeight="1">
      <c r="A16" s="55"/>
      <c r="B16" s="56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0"/>
      <c r="Q16" s="51"/>
      <c r="R16" s="51"/>
      <c r="S16" s="51"/>
      <c r="T16" s="51"/>
      <c r="U16" s="51"/>
      <c r="V16" s="51"/>
      <c r="W16" s="51"/>
      <c r="X16" s="52"/>
    </row>
    <row r="17" spans="1:24" ht="16.5" customHeight="1">
      <c r="A17" s="55"/>
      <c r="B17" s="56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0"/>
      <c r="Q17" s="51"/>
      <c r="R17" s="51"/>
      <c r="S17" s="51"/>
      <c r="T17" s="51"/>
      <c r="U17" s="51"/>
      <c r="V17" s="51"/>
      <c r="W17" s="51"/>
      <c r="X17" s="52"/>
    </row>
    <row r="18" spans="1:24" ht="22.5" customHeight="1">
      <c r="A18" s="55"/>
      <c r="B18" s="56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0"/>
      <c r="Q18" s="51"/>
      <c r="R18" s="51"/>
      <c r="S18" s="51"/>
      <c r="T18" s="51"/>
      <c r="U18" s="51"/>
      <c r="V18" s="51"/>
      <c r="W18" s="51"/>
      <c r="X18" s="52"/>
    </row>
    <row r="19" spans="1:24" ht="87" customHeight="1">
      <c r="A19" s="57"/>
      <c r="B19" s="58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5"/>
      <c r="O19" s="55"/>
      <c r="P19" s="59"/>
      <c r="Q19" s="60"/>
      <c r="R19" s="60"/>
      <c r="S19" s="60"/>
      <c r="T19" s="60"/>
      <c r="U19" s="60"/>
      <c r="V19" s="60"/>
      <c r="W19" s="60"/>
      <c r="X19" s="61"/>
    </row>
    <row r="20" spans="1:24" ht="9" customHeight="1">
      <c r="A20" s="57"/>
      <c r="B20" s="58"/>
      <c r="C20" s="57"/>
      <c r="D20" s="224"/>
      <c r="E20" s="57"/>
      <c r="F20" s="224"/>
      <c r="G20" s="57"/>
      <c r="H20" s="224"/>
      <c r="I20" s="57"/>
      <c r="J20" s="224"/>
      <c r="K20" s="57"/>
      <c r="L20" s="224"/>
      <c r="M20" s="57"/>
      <c r="N20" s="55"/>
      <c r="O20" s="55"/>
    </row>
    <row r="21" spans="1:24" ht="11.25" customHeight="1">
      <c r="A21" s="57"/>
      <c r="B21" s="58"/>
      <c r="C21" s="57"/>
      <c r="D21" s="224"/>
      <c r="E21" s="57"/>
      <c r="F21" s="224"/>
      <c r="G21" s="57"/>
      <c r="H21" s="224"/>
      <c r="I21" s="57"/>
      <c r="J21" s="224"/>
      <c r="K21" s="57"/>
      <c r="L21" s="224"/>
      <c r="M21" s="57"/>
      <c r="N21" s="55"/>
      <c r="O21" s="55"/>
    </row>
    <row r="22" spans="1:24" ht="3.75" customHeight="1">
      <c r="A22" s="57"/>
      <c r="B22" s="58"/>
      <c r="C22" s="57"/>
      <c r="D22" s="220"/>
      <c r="E22" s="57"/>
      <c r="F22" s="220"/>
      <c r="G22" s="57"/>
      <c r="H22" s="220"/>
      <c r="I22" s="57"/>
      <c r="J22" s="220"/>
      <c r="K22" s="57"/>
      <c r="L22" s="220"/>
      <c r="M22" s="57"/>
      <c r="N22" s="55"/>
      <c r="O22" s="55"/>
    </row>
    <row r="23" spans="1:24" ht="9" customHeight="1">
      <c r="A23" s="57"/>
      <c r="B23" s="58"/>
      <c r="C23" s="57"/>
      <c r="D23" s="224"/>
      <c r="E23" s="57"/>
      <c r="F23" s="224"/>
      <c r="G23" s="57"/>
      <c r="H23" s="224"/>
      <c r="I23" s="57"/>
      <c r="J23" s="224"/>
      <c r="K23" s="57"/>
      <c r="L23" s="224"/>
      <c r="M23" s="57"/>
      <c r="N23" s="55"/>
      <c r="O23" s="55"/>
    </row>
    <row r="24" spans="1:24" ht="9" customHeight="1">
      <c r="A24" s="57"/>
      <c r="B24" s="58"/>
      <c r="C24" s="57"/>
      <c r="D24" s="224"/>
      <c r="E24" s="57"/>
      <c r="F24" s="224"/>
      <c r="G24" s="57"/>
      <c r="H24" s="224"/>
      <c r="I24" s="57"/>
      <c r="J24" s="224"/>
      <c r="K24" s="57"/>
      <c r="L24" s="224"/>
      <c r="M24" s="57"/>
      <c r="N24" s="55"/>
      <c r="O24" s="55"/>
    </row>
    <row r="25" spans="1:24" ht="16.5" customHeight="1">
      <c r="A25" s="55"/>
      <c r="B25" s="56"/>
      <c r="C25" s="63"/>
      <c r="D25" s="63"/>
      <c r="E25" s="63"/>
      <c r="F25" s="63"/>
      <c r="G25" s="63"/>
      <c r="H25" s="63"/>
      <c r="I25" s="63"/>
      <c r="J25" s="63"/>
      <c r="K25" s="63"/>
      <c r="L25" s="55"/>
      <c r="M25" s="55"/>
      <c r="N25" s="55"/>
      <c r="O25" s="55"/>
    </row>
    <row r="26" spans="1:24" ht="21.7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</row>
    <row r="27" spans="1:24" ht="6.75" customHeight="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</row>
    <row r="28" spans="1:24" ht="6" customHeight="1">
      <c r="A28" s="64"/>
      <c r="B28" s="64"/>
      <c r="C28" s="6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</row>
    <row r="29" spans="1:24" ht="4.5" customHeight="1">
      <c r="A29" s="64"/>
      <c r="B29" s="64"/>
      <c r="C29" s="6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</row>
    <row r="30" spans="1:24" ht="6" customHeight="1">
      <c r="A30" s="64"/>
      <c r="B30" s="64"/>
      <c r="C30" s="64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</row>
    <row r="31" spans="1:24" ht="6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</row>
    <row r="32" spans="1:24" ht="4.5" customHeight="1">
      <c r="A32" s="55"/>
      <c r="B32" s="55"/>
      <c r="C32" s="55"/>
      <c r="D32" s="55"/>
      <c r="E32" s="55"/>
      <c r="F32" s="55"/>
      <c r="G32" s="66"/>
      <c r="H32" s="66"/>
      <c r="I32" s="66"/>
      <c r="J32" s="66"/>
      <c r="K32" s="66"/>
      <c r="L32" s="55"/>
      <c r="M32" s="55"/>
      <c r="N32" s="55"/>
      <c r="O32" s="55"/>
    </row>
    <row r="33" spans="1:15" ht="18" customHeight="1">
      <c r="A33" s="67"/>
      <c r="B33" s="67"/>
      <c r="C33" s="67"/>
      <c r="D33" s="67"/>
      <c r="E33" s="67"/>
      <c r="F33" s="66"/>
      <c r="G33" s="66"/>
      <c r="H33" s="66"/>
      <c r="I33" s="66"/>
      <c r="J33" s="66"/>
      <c r="K33" s="66"/>
      <c r="L33" s="55"/>
      <c r="M33" s="55"/>
      <c r="N33" s="55"/>
      <c r="O33" s="55"/>
    </row>
    <row r="34" spans="1:15">
      <c r="A34" s="67"/>
      <c r="B34" s="67"/>
      <c r="C34" s="67"/>
      <c r="D34" s="67"/>
      <c r="E34" s="67"/>
      <c r="F34" s="66"/>
      <c r="G34" s="66"/>
      <c r="H34" s="66"/>
      <c r="I34" s="66"/>
      <c r="J34" s="66"/>
      <c r="K34" s="66"/>
      <c r="L34" s="55"/>
      <c r="M34" s="55"/>
      <c r="N34" s="55"/>
      <c r="O34" s="55"/>
    </row>
    <row r="35" spans="1:15">
      <c r="A35" s="67"/>
      <c r="B35" s="67"/>
      <c r="C35" s="67"/>
      <c r="D35" s="67"/>
      <c r="E35" s="67"/>
      <c r="F35" s="66"/>
      <c r="G35" s="66"/>
      <c r="H35" s="66"/>
      <c r="I35" s="66"/>
      <c r="J35" s="66"/>
      <c r="K35" s="66"/>
      <c r="L35" s="55"/>
      <c r="M35" s="55"/>
      <c r="N35" s="55"/>
      <c r="O35" s="55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CC94-A67E-41B8-A39E-20EDFC2B7091}">
  <sheetPr>
    <tabColor theme="4"/>
  </sheetPr>
  <dimension ref="B1:AR18"/>
  <sheetViews>
    <sheetView showGridLines="0" zoomScale="85" zoomScaleNormal="85" zoomScalePageLayoutView="150" workbookViewId="0">
      <pane xSplit="3" ySplit="9" topLeftCell="D10" activePane="bottomRight" state="frozen"/>
      <selection pane="topRight" activeCell="D1" sqref="D1"/>
      <selection pane="bottomLeft" activeCell="A9" sqref="A9"/>
      <selection pane="bottomRight" activeCell="C1" sqref="C1"/>
    </sheetView>
  </sheetViews>
  <sheetFormatPr baseColWidth="10" defaultColWidth="11.42578125" defaultRowHeight="15" outlineLevelCol="1"/>
  <cols>
    <col min="1" max="1" width="5.42578125" style="88" customWidth="1"/>
    <col min="2" max="2" width="39.7109375" style="88" customWidth="1"/>
    <col min="3" max="3" width="63.85546875" style="17" customWidth="1"/>
    <col min="4" max="23" width="9.42578125" style="88" hidden="1" customWidth="1" outlineLevel="1"/>
    <col min="24" max="24" width="9.42578125" style="88" customWidth="1" collapsed="1"/>
    <col min="25" max="44" width="9.42578125" style="88" customWidth="1"/>
    <col min="45" max="16384" width="11.42578125" style="88"/>
  </cols>
  <sheetData>
    <row r="1" spans="2:44" s="83" customFormat="1" ht="23.25" customHeight="1">
      <c r="B1" s="79" t="s">
        <v>58</v>
      </c>
      <c r="C1" s="95" t="s">
        <v>67</v>
      </c>
      <c r="D1" s="96"/>
      <c r="E1" s="96"/>
      <c r="F1" s="96"/>
      <c r="G1" s="96"/>
      <c r="H1" s="96"/>
      <c r="I1" s="96"/>
      <c r="J1" s="96"/>
      <c r="K1" s="97"/>
      <c r="AK1" s="38"/>
      <c r="AL1" s="84"/>
    </row>
    <row r="2" spans="2:44" s="83" customFormat="1" ht="23.25" customHeight="1">
      <c r="B2" s="79" t="s">
        <v>56</v>
      </c>
      <c r="C2" s="95" t="s">
        <v>121</v>
      </c>
      <c r="D2" s="96"/>
      <c r="E2" s="96"/>
      <c r="F2" s="96"/>
      <c r="G2" s="96"/>
      <c r="H2" s="96"/>
      <c r="I2" s="96"/>
      <c r="J2" s="96"/>
      <c r="K2" s="97"/>
      <c r="AK2" s="38"/>
    </row>
    <row r="3" spans="2:44" s="83" customFormat="1" ht="23.25" customHeight="1">
      <c r="B3" s="79" t="s">
        <v>55</v>
      </c>
      <c r="C3" s="98">
        <f ca="1">TODAY()</f>
        <v>45727</v>
      </c>
      <c r="D3" s="99"/>
      <c r="E3" s="99"/>
      <c r="F3" s="99"/>
      <c r="G3" s="99"/>
      <c r="H3" s="99"/>
      <c r="I3" s="99"/>
      <c r="J3" s="99"/>
      <c r="K3" s="99"/>
      <c r="AK3" s="38"/>
    </row>
    <row r="4" spans="2:44" s="83" customFormat="1" ht="23.25" customHeight="1">
      <c r="B4" s="79" t="s">
        <v>117</v>
      </c>
      <c r="C4" s="95" t="s">
        <v>102</v>
      </c>
      <c r="D4" s="96"/>
      <c r="E4" s="96"/>
      <c r="F4" s="96"/>
      <c r="G4" s="96"/>
      <c r="H4" s="96"/>
      <c r="I4" s="96"/>
      <c r="J4" s="96"/>
      <c r="K4" s="97"/>
    </row>
    <row r="5" spans="2:44" s="83" customFormat="1" ht="23.25" customHeight="1">
      <c r="B5" s="79" t="s">
        <v>118</v>
      </c>
      <c r="C5" s="188" t="s">
        <v>119</v>
      </c>
      <c r="D5" s="189"/>
      <c r="E5" s="189"/>
      <c r="F5" s="189"/>
      <c r="G5" s="189"/>
      <c r="H5" s="189"/>
      <c r="I5" s="189"/>
      <c r="J5" s="189"/>
      <c r="K5" s="97"/>
    </row>
    <row r="6" spans="2:44" s="83" customFormat="1" ht="23.25" customHeight="1">
      <c r="B6" s="79" t="s">
        <v>53</v>
      </c>
      <c r="C6" s="95" t="s">
        <v>65</v>
      </c>
      <c r="D6" s="96"/>
      <c r="E6" s="96"/>
      <c r="F6" s="96"/>
      <c r="G6" s="96"/>
      <c r="H6" s="96"/>
      <c r="I6" s="96"/>
      <c r="J6" s="96"/>
      <c r="K6" s="97"/>
    </row>
    <row r="7" spans="2:44" s="83" customFormat="1" ht="23.25" customHeight="1">
      <c r="B7" s="79" t="s">
        <v>52</v>
      </c>
      <c r="C7" s="95"/>
      <c r="D7" s="96"/>
      <c r="E7" s="96"/>
      <c r="F7" s="96"/>
      <c r="G7" s="96"/>
      <c r="H7" s="96"/>
      <c r="I7" s="96"/>
      <c r="J7" s="96"/>
      <c r="K7" s="97"/>
      <c r="AK7" s="38"/>
    </row>
    <row r="8" spans="2:44">
      <c r="B8" s="80"/>
      <c r="C8" s="81"/>
      <c r="D8" s="80"/>
      <c r="E8" s="80"/>
      <c r="F8" s="80"/>
      <c r="G8" s="80"/>
      <c r="H8" s="80"/>
      <c r="I8" s="80"/>
      <c r="J8" s="80"/>
      <c r="K8" s="80"/>
    </row>
    <row r="9" spans="2:44" ht="14.25" customHeight="1">
      <c r="B9" s="1"/>
      <c r="C9" s="11"/>
    </row>
    <row r="10" spans="2:44" ht="22.5" customHeight="1">
      <c r="B10" s="3"/>
      <c r="C10" s="12"/>
      <c r="D10" s="24"/>
      <c r="E10" s="2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2:44">
      <c r="B11" s="4" t="s">
        <v>69</v>
      </c>
      <c r="C11" s="13"/>
      <c r="D11" s="8">
        <v>32874</v>
      </c>
      <c r="E11" s="8">
        <v>33239</v>
      </c>
      <c r="F11" s="8">
        <v>33604</v>
      </c>
      <c r="G11" s="8">
        <v>33970</v>
      </c>
      <c r="H11" s="8">
        <v>34335</v>
      </c>
      <c r="I11" s="8">
        <v>34700</v>
      </c>
      <c r="J11" s="8">
        <v>35065</v>
      </c>
      <c r="K11" s="8">
        <v>35431</v>
      </c>
      <c r="L11" s="8">
        <v>35796</v>
      </c>
      <c r="M11" s="8">
        <v>36161</v>
      </c>
      <c r="N11" s="8">
        <v>36526</v>
      </c>
      <c r="O11" s="8">
        <v>36892</v>
      </c>
      <c r="P11" s="8">
        <v>37257</v>
      </c>
      <c r="Q11" s="8">
        <v>37622</v>
      </c>
      <c r="R11" s="8">
        <v>37987</v>
      </c>
      <c r="S11" s="8">
        <v>38353</v>
      </c>
      <c r="T11" s="8">
        <v>38718</v>
      </c>
      <c r="U11" s="8">
        <v>39083</v>
      </c>
      <c r="V11" s="8">
        <v>39448</v>
      </c>
      <c r="W11" s="8">
        <v>39814</v>
      </c>
      <c r="X11" s="8">
        <v>40179</v>
      </c>
      <c r="Y11" s="8">
        <v>40544</v>
      </c>
      <c r="Z11" s="8">
        <v>40909</v>
      </c>
      <c r="AA11" s="8">
        <v>41275</v>
      </c>
      <c r="AB11" s="8">
        <v>41640</v>
      </c>
      <c r="AC11" s="8">
        <v>42005</v>
      </c>
      <c r="AD11" s="8">
        <v>42370</v>
      </c>
      <c r="AE11" s="8">
        <v>42736</v>
      </c>
      <c r="AF11" s="8">
        <v>43101</v>
      </c>
      <c r="AG11" s="8">
        <v>43466</v>
      </c>
      <c r="AH11" s="8">
        <v>43831</v>
      </c>
      <c r="AI11" s="8">
        <v>44197</v>
      </c>
      <c r="AJ11" s="8">
        <v>44562</v>
      </c>
      <c r="AK11" s="8">
        <v>44927</v>
      </c>
      <c r="AL11" s="8">
        <v>45292</v>
      </c>
      <c r="AM11" s="8">
        <v>45658</v>
      </c>
      <c r="AN11" s="8">
        <v>46023</v>
      </c>
      <c r="AO11" s="8">
        <v>46388</v>
      </c>
      <c r="AP11" s="8">
        <v>46753</v>
      </c>
      <c r="AQ11" s="8">
        <v>47119</v>
      </c>
      <c r="AR11" s="8">
        <v>47484</v>
      </c>
    </row>
    <row r="12" spans="2:44" ht="19.5" customHeight="1">
      <c r="B12" s="117" t="str">
        <f>THG!B10</f>
        <v>CRF 1.A.1 - Energiewirtschaft</v>
      </c>
      <c r="C12" s="14" t="s">
        <v>63</v>
      </c>
      <c r="D12" s="100">
        <f>(THG!D10)/1000</f>
        <v>431.0829073896561</v>
      </c>
      <c r="E12" s="100">
        <f>(THG!E10)/1000</f>
        <v>417.23936685681116</v>
      </c>
      <c r="F12" s="100">
        <f>(THG!F10)/1000</f>
        <v>395.54559395169616</v>
      </c>
      <c r="G12" s="100">
        <f>(THG!G10)/1000</f>
        <v>384.45307304713197</v>
      </c>
      <c r="H12" s="100">
        <f>(THG!H10)/1000</f>
        <v>381.96168321181256</v>
      </c>
      <c r="I12" s="100">
        <f>(THG!I10)/1000</f>
        <v>370.19209022787948</v>
      </c>
      <c r="J12" s="100">
        <f>(THG!J10)/1000</f>
        <v>377.04969211686978</v>
      </c>
      <c r="K12" s="100">
        <f>(THG!K10)/1000</f>
        <v>355.96913829080091</v>
      </c>
      <c r="L12" s="100">
        <f>(THG!L10)/1000</f>
        <v>358.86167672242988</v>
      </c>
      <c r="M12" s="100">
        <f>(THG!M10)/1000</f>
        <v>346.76542246080032</v>
      </c>
      <c r="N12" s="100">
        <f>(THG!N10)/1000</f>
        <v>359.790490014981</v>
      </c>
      <c r="O12" s="100">
        <f>(THG!O10)/1000</f>
        <v>372.36912140645603</v>
      </c>
      <c r="P12" s="100">
        <f>(THG!P10)/1000</f>
        <v>373.79560706243274</v>
      </c>
      <c r="Q12" s="100">
        <f>(THG!Q10)/1000</f>
        <v>392.04919927446758</v>
      </c>
      <c r="R12" s="100">
        <f>(THG!R10)/1000</f>
        <v>389.76755129355769</v>
      </c>
      <c r="S12" s="100">
        <f>(THG!S10)/1000</f>
        <v>382.84153157137285</v>
      </c>
      <c r="T12" s="100">
        <f>(THG!T10)/1000</f>
        <v>385.17639053957834</v>
      </c>
      <c r="U12" s="100">
        <f>(THG!U10)/1000</f>
        <v>390.024702818744</v>
      </c>
      <c r="V12" s="100">
        <f>(THG!V10)/1000</f>
        <v>372.49156498839221</v>
      </c>
      <c r="W12" s="100">
        <f>(THG!W10)/1000</f>
        <v>348.33369358516313</v>
      </c>
      <c r="X12" s="100">
        <f>(THG!X10)/1000</f>
        <v>359.52952492107164</v>
      </c>
      <c r="Y12" s="100">
        <f>(THG!Y10)/1000</f>
        <v>355.00134322447798</v>
      </c>
      <c r="Z12" s="100">
        <f>(THG!Z10)/1000</f>
        <v>366.04474533954317</v>
      </c>
      <c r="AA12" s="100">
        <f>(THG!AA10)/1000</f>
        <v>371.02976980093564</v>
      </c>
      <c r="AB12" s="100">
        <f>(THG!AB10)/1000</f>
        <v>351.69322360708844</v>
      </c>
      <c r="AC12" s="100">
        <f>(THG!AC10)/1000</f>
        <v>340.41979339958704</v>
      </c>
      <c r="AD12" s="100">
        <f>(THG!AD10)/1000</f>
        <v>336.64491238924114</v>
      </c>
      <c r="AE12" s="100">
        <f>(THG!AE10)/1000</f>
        <v>317.00931662042819</v>
      </c>
      <c r="AF12" s="100">
        <f>(THG!AF10)/1000</f>
        <v>302.85673756760809</v>
      </c>
      <c r="AG12" s="100">
        <f>(THG!AG10)/1000</f>
        <v>252.36991567634036</v>
      </c>
      <c r="AH12" s="171">
        <f>(THG!AH10)/1000</f>
        <v>214.16805675168911</v>
      </c>
      <c r="AI12" s="171">
        <f>(THG!AI10)/1000</f>
        <v>241.57752891413347</v>
      </c>
      <c r="AJ12" s="171">
        <f>(THG!AJ10)/1000</f>
        <v>251.56638924606543</v>
      </c>
      <c r="AK12" s="171">
        <f>(THG!AK10)/1000</f>
        <v>198.06164429263734</v>
      </c>
      <c r="AL12" s="171">
        <f>(THG!AL10)/1000</f>
        <v>180.58147339260449</v>
      </c>
      <c r="AM12" s="29"/>
      <c r="AN12" s="29"/>
      <c r="AO12" s="29"/>
      <c r="AP12" s="29"/>
      <c r="AQ12" s="29"/>
      <c r="AR12" s="29"/>
    </row>
    <row r="13" spans="2:44" ht="19.5" customHeight="1">
      <c r="B13" s="118" t="str">
        <f>THG!B11</f>
        <v>CRF 1.A.3.e - Erdgasverdichter</v>
      </c>
      <c r="C13" s="89" t="s">
        <v>63</v>
      </c>
      <c r="D13" s="101">
        <f>(THG!D11)/1000</f>
        <v>1.10210405696</v>
      </c>
      <c r="E13" s="101">
        <f>(THG!E11)/1000</f>
        <v>1.1588224344799998</v>
      </c>
      <c r="F13" s="101">
        <f>(THG!F11)/1000</f>
        <v>1.1462562217999999</v>
      </c>
      <c r="G13" s="101">
        <f>(THG!G11)/1000</f>
        <v>1.2123214122399997</v>
      </c>
      <c r="H13" s="101">
        <f>(THG!H11)/1000</f>
        <v>1.2340664028799999</v>
      </c>
      <c r="I13" s="101">
        <f>(THG!I11)/1000</f>
        <v>1.3467070515999999</v>
      </c>
      <c r="J13" s="101">
        <f>(THG!J11)/1000</f>
        <v>1.506574448991111</v>
      </c>
      <c r="K13" s="101">
        <f>(THG!K11)/1000</f>
        <v>1.438946381291111</v>
      </c>
      <c r="L13" s="101">
        <f>(THG!L11)/1000</f>
        <v>1.4501051676533332</v>
      </c>
      <c r="M13" s="101">
        <f>(THG!M11)/1000</f>
        <v>1.444711794611111</v>
      </c>
      <c r="N13" s="101">
        <f>(THG!N11)/1000</f>
        <v>1.4314026897155554</v>
      </c>
      <c r="O13" s="101">
        <f>(THG!O11)/1000</f>
        <v>1.5100546278799998</v>
      </c>
      <c r="P13" s="101">
        <f>(THG!P11)/1000</f>
        <v>1.6219908855466669</v>
      </c>
      <c r="Q13" s="101">
        <f>(THG!Q11)/1000</f>
        <v>1.5247198654133332</v>
      </c>
      <c r="R13" s="101">
        <f>(THG!R11)/1000</f>
        <v>1.5354171847999998</v>
      </c>
      <c r="S13" s="101">
        <f>(THG!S11)/1000</f>
        <v>1.5007582990093968</v>
      </c>
      <c r="T13" s="101">
        <f>(THG!T11)/1000</f>
        <v>1.6931054120679665</v>
      </c>
      <c r="U13" s="101">
        <f>(THG!U11)/1000</f>
        <v>1.3820531606745299</v>
      </c>
      <c r="V13" s="101">
        <f>(THG!V11)/1000</f>
        <v>1.45190294567175</v>
      </c>
      <c r="W13" s="101">
        <f>(THG!W11)/1000</f>
        <v>1.3694616317385833</v>
      </c>
      <c r="X13" s="101">
        <f>(THG!X11)/1000</f>
        <v>1.1911170131017597</v>
      </c>
      <c r="Y13" s="101">
        <f>(THG!Y11)/1000</f>
        <v>1.2433532464600003</v>
      </c>
      <c r="Z13" s="101">
        <f>(THG!Z11)/1000</f>
        <v>1.2525273939000798</v>
      </c>
      <c r="AA13" s="101">
        <f>(THG!AA11)/1000</f>
        <v>1.4891857180473971</v>
      </c>
      <c r="AB13" s="101">
        <f>(THG!AB11)/1000</f>
        <v>1.21085502038652</v>
      </c>
      <c r="AC13" s="101">
        <f>(THG!AC11)/1000</f>
        <v>1.24728307069308</v>
      </c>
      <c r="AD13" s="101">
        <f>(THG!AD11)/1000</f>
        <v>1.0601524458041403</v>
      </c>
      <c r="AE13" s="101">
        <f>(THG!AE11)/1000</f>
        <v>1.2682462125871801</v>
      </c>
      <c r="AF13" s="101">
        <f>(THG!AF11)/1000</f>
        <v>1.3469831013109099</v>
      </c>
      <c r="AG13" s="101">
        <f>(THG!AG11)/1000</f>
        <v>1.2098986901477897</v>
      </c>
      <c r="AH13" s="172">
        <f>(THG!AH11)/1000</f>
        <v>0.77768307961819971</v>
      </c>
      <c r="AI13" s="172">
        <f>(THG!AI11)/1000</f>
        <v>0.84724022320094006</v>
      </c>
      <c r="AJ13" s="172">
        <f>(THG!AJ11)/1000</f>
        <v>1.3453856555505599</v>
      </c>
      <c r="AK13" s="172">
        <f>(THG!AK11)/1000</f>
        <v>0.9483268295262397</v>
      </c>
      <c r="AL13" s="172">
        <f>(THG!AL11)/1000</f>
        <v>0.87569376857863979</v>
      </c>
      <c r="AM13" s="91"/>
      <c r="AN13" s="91"/>
      <c r="AO13" s="91"/>
      <c r="AP13" s="91"/>
      <c r="AQ13" s="91"/>
      <c r="AR13" s="91"/>
    </row>
    <row r="14" spans="2:44" ht="19.5" customHeight="1">
      <c r="B14" s="117" t="str">
        <f>THG!B12</f>
        <v>CRF 1.B - Diffuse Emissionen aus Brennstoffen</v>
      </c>
      <c r="C14" s="14" t="s">
        <v>63</v>
      </c>
      <c r="D14" s="100">
        <f>(THG!D12)/1000</f>
        <v>42.587192874010782</v>
      </c>
      <c r="E14" s="100">
        <f>(THG!E12)/1000</f>
        <v>41.546668596311271</v>
      </c>
      <c r="F14" s="100">
        <f>(THG!F12)/1000</f>
        <v>38.983158183125305</v>
      </c>
      <c r="G14" s="100">
        <f>(THG!G12)/1000</f>
        <v>40.259493922907019</v>
      </c>
      <c r="H14" s="100">
        <f>(THG!H12)/1000</f>
        <v>36.818572302647773</v>
      </c>
      <c r="I14" s="100">
        <f>(THG!I12)/1000</f>
        <v>35.397184972085334</v>
      </c>
      <c r="J14" s="100">
        <f>(THG!J12)/1000</f>
        <v>34.315770488618895</v>
      </c>
      <c r="K14" s="100">
        <f>(THG!K12)/1000</f>
        <v>33.600922537861173</v>
      </c>
      <c r="L14" s="100">
        <f>(THG!L12)/1000</f>
        <v>30.647687058235491</v>
      </c>
      <c r="M14" s="100">
        <f>(THG!M12)/1000</f>
        <v>31.777728060656962</v>
      </c>
      <c r="N14" s="100">
        <f>(THG!N12)/1000</f>
        <v>29.621785033987464</v>
      </c>
      <c r="O14" s="100">
        <f>(THG!O12)/1000</f>
        <v>26.962139794143027</v>
      </c>
      <c r="P14" s="100">
        <f>(THG!P12)/1000</f>
        <v>25.538794633335247</v>
      </c>
      <c r="Q14" s="100">
        <f>(THG!Q12)/1000</f>
        <v>23.424586728453384</v>
      </c>
      <c r="R14" s="100">
        <f>(THG!R12)/1000</f>
        <v>20.297866359639766</v>
      </c>
      <c r="S14" s="100">
        <f>(THG!S12)/1000</f>
        <v>18.258651831784153</v>
      </c>
      <c r="T14" s="100">
        <f>(THG!T12)/1000</f>
        <v>16.257427651953648</v>
      </c>
      <c r="U14" s="100">
        <f>(THG!U12)/1000</f>
        <v>14.62815193444842</v>
      </c>
      <c r="V14" s="100">
        <f>(THG!V12)/1000</f>
        <v>14.06885024353714</v>
      </c>
      <c r="W14" s="100">
        <f>(THG!W12)/1000</f>
        <v>12.21076147931368</v>
      </c>
      <c r="X14" s="100">
        <f>(THG!X12)/1000</f>
        <v>11.916432257152598</v>
      </c>
      <c r="Y14" s="100">
        <f>(THG!Y12)/1000</f>
        <v>11.465005986799035</v>
      </c>
      <c r="Z14" s="100">
        <f>(THG!Z12)/1000</f>
        <v>12.050608448399801</v>
      </c>
      <c r="AA14" s="100">
        <f>(THG!AA12)/1000</f>
        <v>11.183363229861717</v>
      </c>
      <c r="AB14" s="100">
        <f>(THG!AB12)/1000</f>
        <v>9.8218496546800438</v>
      </c>
      <c r="AC14" s="100">
        <f>(THG!AC12)/1000</f>
        <v>9.65432438441327</v>
      </c>
      <c r="AD14" s="100">
        <f>(THG!AD12)/1000</f>
        <v>8.623652778853744</v>
      </c>
      <c r="AE14" s="100">
        <f>(THG!AE12)/1000</f>
        <v>8.2231282106750641</v>
      </c>
      <c r="AF14" s="100">
        <f>(THG!AF12)/1000</f>
        <v>6.6473457930008051</v>
      </c>
      <c r="AG14" s="100">
        <f>(THG!AG12)/1000</f>
        <v>4.7032152734726917</v>
      </c>
      <c r="AH14" s="171">
        <f>(THG!AH12)/1000</f>
        <v>4.0919144493786153</v>
      </c>
      <c r="AI14" s="171">
        <f>(THG!AI12)/1000</f>
        <v>3.9966613164036069</v>
      </c>
      <c r="AJ14" s="171">
        <f>(THG!AJ12)/1000</f>
        <v>3.7586433582062075</v>
      </c>
      <c r="AK14" s="171">
        <f>(THG!AK12)/1000</f>
        <v>3.5724459293987869</v>
      </c>
      <c r="AL14" s="171">
        <f>(THG!AL12)/1000</f>
        <v>3.5367191813996874</v>
      </c>
      <c r="AM14" s="29"/>
      <c r="AN14" s="29"/>
      <c r="AO14" s="29"/>
      <c r="AP14" s="29"/>
      <c r="AQ14" s="29"/>
      <c r="AR14" s="29"/>
    </row>
    <row r="15" spans="2:44" ht="19.5" customHeight="1">
      <c r="B15" s="6" t="s">
        <v>8</v>
      </c>
      <c r="C15" s="22" t="s">
        <v>63</v>
      </c>
      <c r="D15" s="82">
        <f>(THG!D9)/1000</f>
        <v>474.77220432062688</v>
      </c>
      <c r="E15" s="82">
        <f>(THG!E9)/1000</f>
        <v>459.94485788760244</v>
      </c>
      <c r="F15" s="82">
        <f>(THG!F9)/1000</f>
        <v>435.6750083566215</v>
      </c>
      <c r="G15" s="82">
        <f>(THG!G9)/1000</f>
        <v>425.92488838227894</v>
      </c>
      <c r="H15" s="82">
        <f>(THG!H9)/1000</f>
        <v>420.01432191734034</v>
      </c>
      <c r="I15" s="82">
        <f>(THG!I9)/1000</f>
        <v>406.93598225156478</v>
      </c>
      <c r="J15" s="82">
        <f>(THG!J9)/1000</f>
        <v>412.87203705447979</v>
      </c>
      <c r="K15" s="82">
        <f>(THG!K9)/1000</f>
        <v>391.00900720995315</v>
      </c>
      <c r="L15" s="82">
        <f>(THG!L9)/1000</f>
        <v>390.95946894831872</v>
      </c>
      <c r="M15" s="82">
        <f>(THG!M9)/1000</f>
        <v>379.98786231606846</v>
      </c>
      <c r="N15" s="82">
        <f>(THG!N9)/1000</f>
        <v>390.84367773868405</v>
      </c>
      <c r="O15" s="82">
        <f>(THG!O9)/1000</f>
        <v>400.84131582847908</v>
      </c>
      <c r="P15" s="82">
        <f>(THG!P9)/1000</f>
        <v>400.95639258131467</v>
      </c>
      <c r="Q15" s="82">
        <f>(THG!Q9)/1000</f>
        <v>416.99850586833435</v>
      </c>
      <c r="R15" s="82">
        <f>(THG!R9)/1000</f>
        <v>411.60083483799747</v>
      </c>
      <c r="S15" s="82">
        <f>(THG!S9)/1000</f>
        <v>402.60094170216644</v>
      </c>
      <c r="T15" s="82">
        <f>(THG!T9)/1000</f>
        <v>403.12692360359995</v>
      </c>
      <c r="U15" s="82">
        <f>(THG!U9)/1000</f>
        <v>406.0349079138669</v>
      </c>
      <c r="V15" s="82">
        <f>(THG!V9)/1000</f>
        <v>388.01231817760117</v>
      </c>
      <c r="W15" s="82">
        <f>(THG!W9)/1000</f>
        <v>361.91391669621538</v>
      </c>
      <c r="X15" s="82">
        <f>(THG!X9)/1000</f>
        <v>372.63707419132606</v>
      </c>
      <c r="Y15" s="82">
        <f>(THG!Y9)/1000</f>
        <v>367.70970245773702</v>
      </c>
      <c r="Z15" s="82">
        <f>(THG!Z9)/1000</f>
        <v>379.34788118184304</v>
      </c>
      <c r="AA15" s="82">
        <f>(THG!AA9)/1000</f>
        <v>383.70231874884473</v>
      </c>
      <c r="AB15" s="82">
        <f>(THG!AB9)/1000</f>
        <v>362.725928282155</v>
      </c>
      <c r="AC15" s="82">
        <f>(THG!AC9)/1000</f>
        <v>351.32140085469337</v>
      </c>
      <c r="AD15" s="82">
        <f>(THG!AD9)/1000</f>
        <v>346.32871761389902</v>
      </c>
      <c r="AE15" s="82">
        <f>(THG!AE9)/1000</f>
        <v>326.50069104369044</v>
      </c>
      <c r="AF15" s="82">
        <f>(THG!AF9)/1000</f>
        <v>310.8510664619198</v>
      </c>
      <c r="AG15" s="82">
        <f>(THG!AG9)/1000</f>
        <v>258.28302963996083</v>
      </c>
      <c r="AH15" s="170">
        <f>(THG!AH9)/1000</f>
        <v>219.03765428068593</v>
      </c>
      <c r="AI15" s="170">
        <f>(THG!AI9)/1000</f>
        <v>246.421430453738</v>
      </c>
      <c r="AJ15" s="170">
        <f>(THG!AJ9)/1000</f>
        <v>256.67041825982216</v>
      </c>
      <c r="AK15" s="170">
        <f>(THG!AK9)/1000</f>
        <v>202.58241705156237</v>
      </c>
      <c r="AL15" s="170">
        <f>(THG!AL9)/1000</f>
        <v>184.99388634258281</v>
      </c>
      <c r="AM15" s="26"/>
      <c r="AN15" s="26"/>
      <c r="AO15" s="26"/>
      <c r="AP15" s="26"/>
      <c r="AQ15" s="26"/>
      <c r="AR15" s="26"/>
    </row>
    <row r="16" spans="2:44" ht="19.5" customHeight="1">
      <c r="B16" s="117" t="s">
        <v>116</v>
      </c>
      <c r="C16" s="14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>
        <f ca="1">'THG kurz'!AA24/1000</f>
        <v>329.46063848099999</v>
      </c>
      <c r="AB16" s="100">
        <f ca="1">'THG kurz'!AB24/1000</f>
        <v>308.79691789999998</v>
      </c>
      <c r="AC16" s="100">
        <f ca="1">'THG kurz'!AC24/1000</f>
        <v>303.30659193100001</v>
      </c>
      <c r="AD16" s="100">
        <f ca="1">'THG kurz'!AD24/1000</f>
        <v>300.52859501600005</v>
      </c>
      <c r="AE16" s="100">
        <f ca="1">'THG kurz'!AE24/1000</f>
        <v>282.70387481699998</v>
      </c>
      <c r="AF16" s="100">
        <f ca="1">'THG kurz'!AF24/1000</f>
        <v>269.91608345999992</v>
      </c>
      <c r="AG16" s="100">
        <f ca="1">'THG kurz'!AG24/1000</f>
        <v>216.58987099999999</v>
      </c>
      <c r="AH16" s="171">
        <f ca="1">'THG kurz'!AH24/1000</f>
        <v>182.62732513999998</v>
      </c>
      <c r="AI16" s="171">
        <f ca="1">'THG kurz'!AI24/1000</f>
        <v>208.887073249</v>
      </c>
      <c r="AJ16" s="171">
        <f ca="1">'THG kurz'!AJ24/1000</f>
        <v>221.11981700000001</v>
      </c>
      <c r="AK16" s="171">
        <f ca="1">'THG kurz'!AK24/1000</f>
        <v>168.74956310026414</v>
      </c>
      <c r="AL16" s="171"/>
      <c r="AM16" s="144"/>
      <c r="AN16" s="144"/>
      <c r="AO16" s="144"/>
      <c r="AP16" s="144"/>
      <c r="AQ16" s="144"/>
      <c r="AR16" s="144"/>
    </row>
    <row r="17" spans="2:44" ht="19.5" customHeight="1">
      <c r="B17" s="6" t="s">
        <v>8</v>
      </c>
      <c r="C17" s="22" t="str">
        <f>'Daten Zielpfadgrafik'!C23</f>
        <v>aktueller Zielpfad**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26">
        <f>'Daten Zielpfadgrafik'!AH23</f>
        <v>280</v>
      </c>
      <c r="AI17" s="26" t="e">
        <f>'Daten Zielpfadgrafik'!AI23</f>
        <v>#N/A</v>
      </c>
      <c r="AJ17" s="26">
        <f>'Daten Zielpfadgrafik'!AJ23</f>
        <v>257</v>
      </c>
      <c r="AK17" s="26" t="e">
        <f>'Daten Zielpfadgrafik'!AK23</f>
        <v>#N/A</v>
      </c>
      <c r="AL17" s="26" t="e">
        <f>'Daten Zielpfadgrafik'!AL23</f>
        <v>#N/A</v>
      </c>
      <c r="AM17" s="26" t="e">
        <f>'Daten Zielpfadgrafik'!AM23</f>
        <v>#N/A</v>
      </c>
      <c r="AN17" s="26" t="e">
        <f>'Daten Zielpfadgrafik'!AN23</f>
        <v>#N/A</v>
      </c>
      <c r="AO17" s="26" t="e">
        <f>'Daten Zielpfadgrafik'!AO23</f>
        <v>#N/A</v>
      </c>
      <c r="AP17" s="26" t="e">
        <f>'Daten Zielpfadgrafik'!AP23</f>
        <v>#N/A</v>
      </c>
      <c r="AQ17" s="26" t="e">
        <f>'Daten Zielpfadgrafik'!AQ23</f>
        <v>#N/A</v>
      </c>
      <c r="AR17" s="26">
        <f>'Daten Zielpfadgrafik'!AR23</f>
        <v>107.9776140872485</v>
      </c>
    </row>
    <row r="18" spans="2:44" ht="14.25" customHeight="1">
      <c r="B18" s="7"/>
      <c r="C18" s="16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8607C-F3D9-47E7-92CF-227DF2682AD0}">
  <sheetPr>
    <tabColor theme="4"/>
    <pageSetUpPr fitToPage="1"/>
  </sheetPr>
  <dimension ref="A1:X35"/>
  <sheetViews>
    <sheetView showGridLines="0" zoomScale="130" zoomScaleNormal="130" zoomScaleSheetLayoutView="110" workbookViewId="0">
      <selection activeCell="M4" sqref="A4:M21"/>
    </sheetView>
  </sheetViews>
  <sheetFormatPr baseColWidth="10" defaultColWidth="11.42578125" defaultRowHeight="12.75"/>
  <cols>
    <col min="1" max="1" width="5.7109375" style="41" customWidth="1"/>
    <col min="2" max="2" width="4.28515625" style="41" customWidth="1"/>
    <col min="3" max="3" width="1.7109375" style="41" customWidth="1"/>
    <col min="4" max="4" width="14" style="41" customWidth="1"/>
    <col min="5" max="5" width="1.7109375" style="41" customWidth="1"/>
    <col min="6" max="6" width="14" style="41" customWidth="1"/>
    <col min="7" max="7" width="1.7109375" style="41" customWidth="1"/>
    <col min="8" max="8" width="14" style="41" customWidth="1"/>
    <col min="9" max="9" width="1.7109375" style="41" customWidth="1"/>
    <col min="10" max="10" width="14" style="41" customWidth="1"/>
    <col min="11" max="11" width="1.7109375" style="41" customWidth="1"/>
    <col min="12" max="12" width="14" style="41" customWidth="1"/>
    <col min="13" max="13" width="3.140625" style="41" customWidth="1"/>
    <col min="14" max="14" width="1.42578125" style="41" customWidth="1"/>
    <col min="15" max="15" width="15.140625" style="41" customWidth="1"/>
    <col min="16" max="16" width="2.5703125" style="42" customWidth="1"/>
    <col min="17" max="19" width="11.7109375" style="42" customWidth="1"/>
    <col min="20" max="20" width="4" style="42" customWidth="1"/>
    <col min="21" max="22" width="11.7109375" style="42" customWidth="1"/>
    <col min="23" max="23" width="19.140625" style="42" customWidth="1"/>
    <col min="24" max="24" width="2.5703125" style="42" customWidth="1"/>
    <col min="25" max="16384" width="11.42578125" style="42"/>
  </cols>
  <sheetData>
    <row r="1" spans="1:24" ht="20.25" customHeight="1">
      <c r="A1" s="40"/>
    </row>
    <row r="2" spans="1:24" ht="20.2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P2" s="225" t="s">
        <v>62</v>
      </c>
      <c r="Q2" s="226"/>
      <c r="R2" s="226"/>
      <c r="S2" s="226"/>
      <c r="T2" s="226"/>
      <c r="U2" s="226"/>
      <c r="V2" s="226"/>
      <c r="W2" s="226"/>
      <c r="X2" s="227"/>
    </row>
    <row r="3" spans="1:24" ht="18.7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P3" s="45"/>
      <c r="Q3" s="46"/>
      <c r="R3" s="47"/>
      <c r="S3" s="46"/>
      <c r="T3" s="46"/>
      <c r="U3" s="47"/>
      <c r="V3" s="46"/>
      <c r="W3" s="46"/>
      <c r="X3" s="48"/>
    </row>
    <row r="4" spans="1:24" ht="15.9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P4" s="45"/>
      <c r="Q4" s="46"/>
      <c r="R4" s="46"/>
      <c r="S4" s="46"/>
      <c r="T4" s="46"/>
      <c r="U4" s="46"/>
      <c r="V4" s="46"/>
      <c r="W4" s="46"/>
      <c r="X4" s="48"/>
    </row>
    <row r="5" spans="1:24" ht="7.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P5" s="50"/>
      <c r="Q5" s="51"/>
      <c r="R5" s="51"/>
      <c r="S5" s="51"/>
      <c r="T5" s="51"/>
      <c r="U5" s="51"/>
      <c r="V5" s="51"/>
      <c r="W5" s="51"/>
      <c r="X5" s="52"/>
    </row>
    <row r="6" spans="1:24" ht="16.5" customHeight="1">
      <c r="B6" s="53"/>
      <c r="P6" s="50"/>
      <c r="Q6" s="51"/>
      <c r="R6" s="51"/>
      <c r="S6" s="51"/>
      <c r="T6" s="51"/>
      <c r="U6" s="51"/>
      <c r="V6" s="51"/>
      <c r="W6" s="51"/>
      <c r="X6" s="52"/>
    </row>
    <row r="7" spans="1:24" ht="16.5" customHeight="1">
      <c r="B7" s="53"/>
      <c r="P7" s="50"/>
      <c r="Q7" s="51"/>
      <c r="R7" s="51"/>
      <c r="S7" s="51"/>
      <c r="T7" s="51"/>
      <c r="U7" s="51"/>
      <c r="V7" s="51"/>
      <c r="W7" s="51"/>
      <c r="X7" s="52"/>
    </row>
    <row r="8" spans="1:24" ht="16.5" customHeight="1">
      <c r="B8" s="53"/>
      <c r="P8" s="50"/>
      <c r="Q8" s="51"/>
      <c r="R8" s="51"/>
      <c r="S8" s="51"/>
      <c r="T8" s="51"/>
      <c r="U8" s="51"/>
      <c r="V8" s="51"/>
      <c r="W8" s="51"/>
      <c r="X8" s="52"/>
    </row>
    <row r="9" spans="1:24" ht="16.5" customHeight="1">
      <c r="B9" s="53"/>
      <c r="P9" s="50"/>
      <c r="Q9" s="51"/>
      <c r="R9" s="51"/>
      <c r="S9" s="51"/>
      <c r="T9" s="51"/>
      <c r="U9" s="51"/>
      <c r="V9" s="51"/>
      <c r="W9" s="51"/>
      <c r="X9" s="52"/>
    </row>
    <row r="10" spans="1:24" ht="16.5" customHeight="1">
      <c r="B10" s="53"/>
      <c r="P10" s="50"/>
      <c r="Q10" s="51"/>
      <c r="R10" s="51"/>
      <c r="S10" s="51"/>
      <c r="T10" s="51"/>
      <c r="U10" s="51"/>
      <c r="V10" s="51"/>
      <c r="W10" s="51"/>
      <c r="X10" s="52"/>
    </row>
    <row r="11" spans="1:24" ht="16.5" customHeight="1">
      <c r="B11" s="53"/>
      <c r="P11" s="50"/>
      <c r="Q11" s="54" t="s">
        <v>61</v>
      </c>
      <c r="R11" s="51"/>
      <c r="S11" s="51"/>
      <c r="T11" s="51"/>
      <c r="U11" s="51"/>
      <c r="V11" s="51"/>
      <c r="W11" s="51"/>
      <c r="X11" s="52"/>
    </row>
    <row r="12" spans="1:24" ht="16.5" customHeight="1">
      <c r="B12" s="53"/>
      <c r="P12" s="50"/>
      <c r="Q12" s="51"/>
      <c r="R12" s="51"/>
      <c r="S12" s="51"/>
      <c r="T12" s="51"/>
      <c r="U12" s="51"/>
      <c r="V12" s="51"/>
      <c r="W12" s="51"/>
      <c r="X12" s="52"/>
    </row>
    <row r="13" spans="1:24" ht="17.25" customHeight="1">
      <c r="B13" s="53"/>
      <c r="P13" s="50"/>
      <c r="Q13" s="54" t="s">
        <v>60</v>
      </c>
      <c r="R13" s="51"/>
      <c r="S13" s="51"/>
      <c r="T13" s="51"/>
      <c r="U13" s="51"/>
      <c r="V13" s="51"/>
      <c r="W13" s="51"/>
      <c r="X13" s="52"/>
    </row>
    <row r="14" spans="1:24" ht="16.5" customHeight="1">
      <c r="B14" s="53"/>
      <c r="P14" s="50"/>
      <c r="Q14" s="51"/>
      <c r="R14" s="51"/>
      <c r="S14" s="51"/>
      <c r="T14" s="51"/>
      <c r="U14" s="51"/>
      <c r="V14" s="51"/>
      <c r="W14" s="51"/>
      <c r="X14" s="52"/>
    </row>
    <row r="15" spans="1:24" ht="16.5" customHeight="1">
      <c r="A15" s="55"/>
      <c r="B15" s="5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0"/>
      <c r="Q15" s="51"/>
      <c r="R15" s="54" t="s">
        <v>59</v>
      </c>
      <c r="S15" s="51"/>
      <c r="T15" s="51"/>
      <c r="U15" s="54" t="s">
        <v>59</v>
      </c>
      <c r="V15" s="51"/>
      <c r="W15" s="51"/>
      <c r="X15" s="52"/>
    </row>
    <row r="16" spans="1:24" ht="16.5" customHeight="1">
      <c r="A16" s="55"/>
      <c r="B16" s="56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0"/>
      <c r="Q16" s="51"/>
      <c r="R16" s="51"/>
      <c r="S16" s="51"/>
      <c r="T16" s="51"/>
      <c r="U16" s="51"/>
      <c r="V16" s="51"/>
      <c r="W16" s="51"/>
      <c r="X16" s="52"/>
    </row>
    <row r="17" spans="1:24" ht="16.5" customHeight="1">
      <c r="A17" s="55"/>
      <c r="B17" s="56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0"/>
      <c r="Q17" s="51"/>
      <c r="R17" s="51"/>
      <c r="S17" s="51"/>
      <c r="T17" s="51"/>
      <c r="U17" s="51"/>
      <c r="V17" s="51"/>
      <c r="W17" s="51"/>
      <c r="X17" s="52"/>
    </row>
    <row r="18" spans="1:24" ht="22.5" customHeight="1">
      <c r="A18" s="55"/>
      <c r="B18" s="56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0"/>
      <c r="Q18" s="51"/>
      <c r="R18" s="51"/>
      <c r="S18" s="51"/>
      <c r="T18" s="51"/>
      <c r="U18" s="51"/>
      <c r="V18" s="51"/>
      <c r="W18" s="51"/>
      <c r="X18" s="52"/>
    </row>
    <row r="19" spans="1:24" ht="87" customHeight="1">
      <c r="A19" s="57"/>
      <c r="B19" s="58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5"/>
      <c r="O19" s="55"/>
      <c r="P19" s="59"/>
      <c r="Q19" s="60"/>
      <c r="R19" s="60"/>
      <c r="S19" s="60"/>
      <c r="T19" s="60"/>
      <c r="U19" s="60"/>
      <c r="V19" s="60"/>
      <c r="W19" s="60"/>
      <c r="X19" s="61"/>
    </row>
    <row r="20" spans="1:24" ht="9" customHeight="1">
      <c r="A20" s="57"/>
      <c r="B20" s="58"/>
      <c r="C20" s="57"/>
      <c r="D20" s="224"/>
      <c r="E20" s="57"/>
      <c r="F20" s="224"/>
      <c r="G20" s="57"/>
      <c r="H20" s="224"/>
      <c r="I20" s="57"/>
      <c r="J20" s="224"/>
      <c r="K20" s="57"/>
      <c r="L20" s="224"/>
      <c r="M20" s="57"/>
      <c r="N20" s="55"/>
      <c r="O20" s="55"/>
    </row>
    <row r="21" spans="1:24" ht="11.25" customHeight="1">
      <c r="A21" s="57"/>
      <c r="B21" s="58"/>
      <c r="C21" s="57"/>
      <c r="D21" s="224"/>
      <c r="E21" s="57"/>
      <c r="F21" s="224"/>
      <c r="G21" s="57"/>
      <c r="H21" s="224"/>
      <c r="I21" s="57"/>
      <c r="J21" s="224"/>
      <c r="K21" s="57"/>
      <c r="L21" s="224"/>
      <c r="M21" s="57"/>
      <c r="N21" s="55"/>
      <c r="O21" s="55"/>
    </row>
    <row r="22" spans="1:24" ht="3.75" customHeight="1">
      <c r="A22" s="57"/>
      <c r="B22" s="58"/>
      <c r="C22" s="57"/>
      <c r="D22" s="93"/>
      <c r="E22" s="57"/>
      <c r="F22" s="93"/>
      <c r="G22" s="57"/>
      <c r="H22" s="93"/>
      <c r="I22" s="57"/>
      <c r="J22" s="93"/>
      <c r="K22" s="57"/>
      <c r="L22" s="93"/>
      <c r="M22" s="57"/>
      <c r="N22" s="55"/>
      <c r="O22" s="55"/>
    </row>
    <row r="23" spans="1:24" ht="9" customHeight="1">
      <c r="A23" s="57"/>
      <c r="B23" s="58"/>
      <c r="C23" s="57"/>
      <c r="D23" s="224"/>
      <c r="E23" s="57"/>
      <c r="F23" s="224"/>
      <c r="G23" s="57"/>
      <c r="H23" s="224"/>
      <c r="I23" s="57"/>
      <c r="J23" s="224"/>
      <c r="K23" s="57"/>
      <c r="L23" s="224"/>
      <c r="M23" s="57"/>
      <c r="N23" s="55"/>
      <c r="O23" s="55"/>
    </row>
    <row r="24" spans="1:24" ht="9" customHeight="1">
      <c r="A24" s="57"/>
      <c r="B24" s="58"/>
      <c r="C24" s="57"/>
      <c r="D24" s="224"/>
      <c r="E24" s="57"/>
      <c r="F24" s="224"/>
      <c r="G24" s="57"/>
      <c r="H24" s="224"/>
      <c r="I24" s="57"/>
      <c r="J24" s="224"/>
      <c r="K24" s="57"/>
      <c r="L24" s="224"/>
      <c r="M24" s="57"/>
      <c r="N24" s="55"/>
      <c r="O24" s="55"/>
    </row>
    <row r="25" spans="1:24" ht="16.5" customHeight="1">
      <c r="A25" s="55"/>
      <c r="B25" s="56"/>
      <c r="C25" s="63"/>
      <c r="D25" s="63"/>
      <c r="E25" s="63"/>
      <c r="F25" s="63"/>
      <c r="G25" s="63"/>
      <c r="H25" s="63"/>
      <c r="I25" s="63"/>
      <c r="J25" s="63"/>
      <c r="K25" s="63"/>
      <c r="L25" s="55"/>
      <c r="M25" s="55"/>
      <c r="N25" s="55"/>
      <c r="O25" s="55"/>
    </row>
    <row r="26" spans="1:24" ht="21.7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</row>
    <row r="27" spans="1:24" ht="6.75" customHeight="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</row>
    <row r="28" spans="1:24" ht="6" customHeight="1">
      <c r="A28" s="64"/>
      <c r="B28" s="64"/>
      <c r="C28" s="6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</row>
    <row r="29" spans="1:24" ht="4.5" customHeight="1">
      <c r="A29" s="64"/>
      <c r="B29" s="64"/>
      <c r="C29" s="6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</row>
    <row r="30" spans="1:24" ht="6" customHeight="1">
      <c r="A30" s="64"/>
      <c r="B30" s="64"/>
      <c r="C30" s="64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</row>
    <row r="31" spans="1:24" ht="6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</row>
    <row r="32" spans="1:24" ht="4.5" customHeight="1">
      <c r="A32" s="55"/>
      <c r="B32" s="55"/>
      <c r="C32" s="55"/>
      <c r="D32" s="55"/>
      <c r="E32" s="55"/>
      <c r="F32" s="55"/>
      <c r="G32" s="66"/>
      <c r="H32" s="66"/>
      <c r="I32" s="66"/>
      <c r="J32" s="66"/>
      <c r="K32" s="66"/>
      <c r="L32" s="55"/>
      <c r="M32" s="55"/>
      <c r="N32" s="55"/>
      <c r="O32" s="55"/>
    </row>
    <row r="33" spans="1:15" ht="18" customHeight="1">
      <c r="A33" s="67"/>
      <c r="B33" s="67"/>
      <c r="C33" s="67"/>
      <c r="D33" s="67"/>
      <c r="E33" s="67"/>
      <c r="F33" s="66"/>
      <c r="G33" s="66"/>
      <c r="H33" s="66"/>
      <c r="I33" s="66"/>
      <c r="J33" s="66"/>
      <c r="K33" s="66"/>
      <c r="L33" s="55"/>
      <c r="M33" s="55"/>
      <c r="N33" s="55"/>
      <c r="O33" s="55"/>
    </row>
    <row r="34" spans="1:15">
      <c r="A34" s="67"/>
      <c r="B34" s="67"/>
      <c r="C34" s="67"/>
      <c r="D34" s="67"/>
      <c r="E34" s="67"/>
      <c r="F34" s="66"/>
      <c r="G34" s="66"/>
      <c r="H34" s="66"/>
      <c r="I34" s="66"/>
      <c r="J34" s="66"/>
      <c r="K34" s="66"/>
      <c r="L34" s="55"/>
      <c r="M34" s="55"/>
      <c r="N34" s="55"/>
      <c r="O34" s="55"/>
    </row>
    <row r="35" spans="1:15">
      <c r="A35" s="67"/>
      <c r="B35" s="67"/>
      <c r="C35" s="67"/>
      <c r="D35" s="67"/>
      <c r="E35" s="67"/>
      <c r="F35" s="66"/>
      <c r="G35" s="66"/>
      <c r="H35" s="66"/>
      <c r="I35" s="66"/>
      <c r="J35" s="66"/>
      <c r="K35" s="66"/>
      <c r="L35" s="55"/>
      <c r="M35" s="55"/>
      <c r="N35" s="55"/>
      <c r="O35" s="55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F4D8-DCF8-48EA-A776-063C67ED7E06}">
  <sheetPr>
    <tabColor theme="7"/>
  </sheetPr>
  <dimension ref="B1:AR20"/>
  <sheetViews>
    <sheetView showGridLines="0" zoomScale="85" zoomScaleNormal="85" zoomScalePageLayoutView="150" workbookViewId="0">
      <pane xSplit="3" ySplit="11" topLeftCell="D12" activePane="bottomRight" state="frozen"/>
      <selection activeCell="D11" sqref="D11"/>
      <selection pane="topRight" activeCell="D11" sqref="D11"/>
      <selection pane="bottomLeft" activeCell="D11" sqref="D11"/>
      <selection pane="bottomRight" activeCell="C1" sqref="C1"/>
    </sheetView>
  </sheetViews>
  <sheetFormatPr baseColWidth="10" defaultColWidth="11.42578125" defaultRowHeight="15" outlineLevelCol="1"/>
  <cols>
    <col min="1" max="1" width="5.42578125" style="88" customWidth="1"/>
    <col min="2" max="2" width="39.7109375" style="88" customWidth="1"/>
    <col min="3" max="3" width="63.85546875" style="17" customWidth="1"/>
    <col min="4" max="23" width="9.42578125" style="88" hidden="1" customWidth="1" outlineLevel="1"/>
    <col min="24" max="24" width="9.42578125" style="88" customWidth="1" collapsed="1"/>
    <col min="25" max="44" width="9.42578125" style="88" customWidth="1"/>
    <col min="45" max="16384" width="11.42578125" style="88"/>
  </cols>
  <sheetData>
    <row r="1" spans="2:44" s="83" customFormat="1" ht="23.25" customHeight="1">
      <c r="B1" s="79" t="s">
        <v>58</v>
      </c>
      <c r="C1" s="95" t="s">
        <v>67</v>
      </c>
      <c r="D1" s="96"/>
      <c r="E1" s="96"/>
      <c r="F1" s="96"/>
      <c r="G1" s="96"/>
      <c r="H1" s="96"/>
      <c r="I1" s="96"/>
      <c r="J1" s="96"/>
      <c r="K1" s="97"/>
      <c r="AK1" s="38"/>
      <c r="AL1" s="84"/>
    </row>
    <row r="2" spans="2:44" s="83" customFormat="1" ht="23.25" customHeight="1">
      <c r="B2" s="79" t="s">
        <v>56</v>
      </c>
      <c r="C2" s="95" t="s">
        <v>122</v>
      </c>
      <c r="D2" s="96"/>
      <c r="E2" s="96"/>
      <c r="F2" s="96"/>
      <c r="G2" s="96"/>
      <c r="H2" s="96"/>
      <c r="I2" s="96"/>
      <c r="J2" s="96"/>
      <c r="K2" s="97"/>
      <c r="AK2" s="38"/>
    </row>
    <row r="3" spans="2:44" s="83" customFormat="1" ht="23.25" customHeight="1">
      <c r="B3" s="79" t="s">
        <v>55</v>
      </c>
      <c r="C3" s="98">
        <f ca="1">TODAY()</f>
        <v>45727</v>
      </c>
      <c r="D3" s="99"/>
      <c r="E3" s="99"/>
      <c r="F3" s="99"/>
      <c r="G3" s="99"/>
      <c r="H3" s="99"/>
      <c r="I3" s="99"/>
      <c r="J3" s="99"/>
      <c r="K3" s="99"/>
      <c r="AK3" s="38"/>
    </row>
    <row r="4" spans="2:44" s="83" customFormat="1" ht="23.25" customHeight="1">
      <c r="B4" s="79" t="s">
        <v>117</v>
      </c>
      <c r="C4" s="95" t="s">
        <v>102</v>
      </c>
      <c r="D4" s="96"/>
      <c r="E4" s="96"/>
      <c r="F4" s="96"/>
      <c r="G4" s="96"/>
      <c r="H4" s="96"/>
      <c r="I4" s="96"/>
      <c r="J4" s="96"/>
      <c r="K4" s="97"/>
    </row>
    <row r="5" spans="2:44" s="83" customFormat="1" ht="23.25" customHeight="1">
      <c r="B5" s="79" t="s">
        <v>118</v>
      </c>
      <c r="C5" s="188" t="s">
        <v>119</v>
      </c>
      <c r="D5" s="189"/>
      <c r="E5" s="189"/>
      <c r="F5" s="189"/>
      <c r="G5" s="189"/>
      <c r="H5" s="189"/>
      <c r="I5" s="189"/>
      <c r="J5" s="189"/>
      <c r="K5" s="97"/>
    </row>
    <row r="6" spans="2:44" s="83" customFormat="1" ht="23.25" customHeight="1">
      <c r="B6" s="79" t="s">
        <v>53</v>
      </c>
      <c r="C6" s="95" t="s">
        <v>65</v>
      </c>
      <c r="D6" s="96"/>
      <c r="E6" s="96"/>
      <c r="F6" s="96"/>
      <c r="G6" s="96"/>
      <c r="H6" s="96"/>
      <c r="I6" s="96"/>
      <c r="J6" s="96"/>
      <c r="K6" s="97"/>
    </row>
    <row r="7" spans="2:44" s="83" customFormat="1" ht="23.25" customHeight="1">
      <c r="B7" s="79" t="s">
        <v>52</v>
      </c>
      <c r="C7" s="230"/>
      <c r="D7" s="231"/>
      <c r="E7" s="231"/>
      <c r="F7" s="231"/>
      <c r="G7" s="231"/>
      <c r="H7" s="231"/>
      <c r="I7" s="231"/>
      <c r="J7" s="231"/>
      <c r="K7" s="97"/>
      <c r="AK7" s="38"/>
    </row>
    <row r="8" spans="2:44">
      <c r="B8" s="80"/>
      <c r="C8" s="81"/>
      <c r="D8" s="80"/>
      <c r="E8" s="80"/>
      <c r="F8" s="80"/>
      <c r="G8" s="80"/>
      <c r="H8" s="80"/>
      <c r="I8" s="80"/>
      <c r="J8" s="80"/>
      <c r="K8" s="80"/>
    </row>
    <row r="9" spans="2:44" ht="14.25" customHeight="1">
      <c r="B9" s="1"/>
      <c r="C9" s="11"/>
    </row>
    <row r="10" spans="2:44" ht="22.5" customHeight="1">
      <c r="B10" s="3"/>
      <c r="C10" s="12"/>
      <c r="D10" s="24"/>
      <c r="E10" s="2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2:44">
      <c r="B11" s="4" t="s">
        <v>69</v>
      </c>
      <c r="C11" s="13"/>
      <c r="D11" s="8">
        <v>32874</v>
      </c>
      <c r="E11" s="8">
        <v>33239</v>
      </c>
      <c r="F11" s="8">
        <v>33604</v>
      </c>
      <c r="G11" s="8">
        <v>33970</v>
      </c>
      <c r="H11" s="8">
        <v>34335</v>
      </c>
      <c r="I11" s="8">
        <v>34700</v>
      </c>
      <c r="J11" s="8">
        <v>35065</v>
      </c>
      <c r="K11" s="8">
        <v>35431</v>
      </c>
      <c r="L11" s="8">
        <v>35796</v>
      </c>
      <c r="M11" s="8">
        <v>36161</v>
      </c>
      <c r="N11" s="8">
        <v>36526</v>
      </c>
      <c r="O11" s="8">
        <v>36892</v>
      </c>
      <c r="P11" s="8">
        <v>37257</v>
      </c>
      <c r="Q11" s="8">
        <v>37622</v>
      </c>
      <c r="R11" s="8">
        <v>37987</v>
      </c>
      <c r="S11" s="8">
        <v>38353</v>
      </c>
      <c r="T11" s="8">
        <v>38718</v>
      </c>
      <c r="U11" s="8">
        <v>39083</v>
      </c>
      <c r="V11" s="8">
        <v>39448</v>
      </c>
      <c r="W11" s="8">
        <v>39814</v>
      </c>
      <c r="X11" s="8">
        <v>40179</v>
      </c>
      <c r="Y11" s="8">
        <v>40544</v>
      </c>
      <c r="Z11" s="8">
        <v>40909</v>
      </c>
      <c r="AA11" s="8">
        <v>41275</v>
      </c>
      <c r="AB11" s="8">
        <v>41640</v>
      </c>
      <c r="AC11" s="8">
        <v>42005</v>
      </c>
      <c r="AD11" s="8">
        <v>42370</v>
      </c>
      <c r="AE11" s="8">
        <v>42736</v>
      </c>
      <c r="AF11" s="8">
        <v>43101</v>
      </c>
      <c r="AG11" s="8">
        <v>43466</v>
      </c>
      <c r="AH11" s="8">
        <v>43831</v>
      </c>
      <c r="AI11" s="8">
        <v>44197</v>
      </c>
      <c r="AJ11" s="8">
        <v>44562</v>
      </c>
      <c r="AK11" s="8">
        <v>44927</v>
      </c>
      <c r="AL11" s="8">
        <v>45292</v>
      </c>
      <c r="AM11" s="8">
        <v>45658</v>
      </c>
      <c r="AN11" s="8">
        <v>46023</v>
      </c>
      <c r="AO11" s="8">
        <v>46388</v>
      </c>
      <c r="AP11" s="8">
        <v>46753</v>
      </c>
      <c r="AQ11" s="8">
        <v>47119</v>
      </c>
      <c r="AR11" s="8">
        <v>47484</v>
      </c>
    </row>
    <row r="12" spans="2:44" s="10" customFormat="1" ht="18.75" customHeight="1">
      <c r="B12" s="117" t="str">
        <f>THG!B15</f>
        <v>CRF 1.A.2 - Verarbeitendes Gewerbe</v>
      </c>
      <c r="C12" s="14" t="s">
        <v>63</v>
      </c>
      <c r="D12" s="100">
        <f>(THG!D15)/1000</f>
        <v>184.42516074303688</v>
      </c>
      <c r="E12" s="100">
        <f>(THG!E15)/1000</f>
        <v>162.76532313277119</v>
      </c>
      <c r="F12" s="100">
        <f>(THG!F15)/1000</f>
        <v>151.47574268655231</v>
      </c>
      <c r="G12" s="100">
        <f>(THG!G15)/1000</f>
        <v>140.49115757229259</v>
      </c>
      <c r="H12" s="100">
        <f>(THG!H15)/1000</f>
        <v>138.52459708879204</v>
      </c>
      <c r="I12" s="100">
        <f>(THG!I15)/1000</f>
        <v>141.97622964579114</v>
      </c>
      <c r="J12" s="100">
        <f>(THG!J15)/1000</f>
        <v>132.65069140621171</v>
      </c>
      <c r="K12" s="100">
        <f>(THG!K15)/1000</f>
        <v>136.61766764047945</v>
      </c>
      <c r="L12" s="100">
        <f>(THG!L15)/1000</f>
        <v>132.09464462890776</v>
      </c>
      <c r="M12" s="100">
        <f>(THG!M15)/1000</f>
        <v>129.58566824291574</v>
      </c>
      <c r="N12" s="100">
        <f>(THG!N15)/1000</f>
        <v>125.90137417773209</v>
      </c>
      <c r="O12" s="100">
        <f>(THG!O15)/1000</f>
        <v>118.88526672347281</v>
      </c>
      <c r="P12" s="100">
        <f>(THG!P15)/1000</f>
        <v>118.22044617305983</v>
      </c>
      <c r="Q12" s="100">
        <f>(THG!Q15)/1000</f>
        <v>114.93551464374244</v>
      </c>
      <c r="R12" s="100">
        <f>(THG!R15)/1000</f>
        <v>113.18982692878387</v>
      </c>
      <c r="S12" s="100">
        <f>(THG!S15)/1000</f>
        <v>113.58517988100502</v>
      </c>
      <c r="T12" s="100">
        <f>(THG!T15)/1000</f>
        <v>117.84052797817205</v>
      </c>
      <c r="U12" s="100">
        <f>(THG!U15)/1000</f>
        <v>122.84599035224061</v>
      </c>
      <c r="V12" s="100">
        <f>(THG!V15)/1000</f>
        <v>123.50521643538831</v>
      </c>
      <c r="W12" s="100">
        <f>(THG!W15)/1000</f>
        <v>105.83306659135607</v>
      </c>
      <c r="X12" s="100">
        <f>(THG!X15)/1000</f>
        <v>122.17646662992729</v>
      </c>
      <c r="Y12" s="100">
        <f>(THG!Y15)/1000</f>
        <v>118.88043847030777</v>
      </c>
      <c r="Z12" s="100">
        <f>(THG!Z15)/1000</f>
        <v>116.87912180643752</v>
      </c>
      <c r="AA12" s="100">
        <f>(THG!AA15)/1000</f>
        <v>116.68045626022084</v>
      </c>
      <c r="AB12" s="100">
        <f>(THG!AB15)/1000</f>
        <v>115.63749827766009</v>
      </c>
      <c r="AC12" s="100">
        <f>(THG!AC15)/1000</f>
        <v>123.15730752143949</v>
      </c>
      <c r="AD12" s="100">
        <f>(THG!AD15)/1000</f>
        <v>125.26029401888462</v>
      </c>
      <c r="AE12" s="100">
        <f>(THG!AE15)/1000</f>
        <v>127.09564242663537</v>
      </c>
      <c r="AF12" s="100">
        <f>(THG!AF15)/1000</f>
        <v>122.43050315005614</v>
      </c>
      <c r="AG12" s="100">
        <f>(THG!AG15)/1000</f>
        <v>119.87616156687675</v>
      </c>
      <c r="AH12" s="171">
        <f>(THG!AH15)/1000</f>
        <v>117.23115400187855</v>
      </c>
      <c r="AI12" s="171">
        <f>(THG!AI15)/1000</f>
        <v>123.04226602798013</v>
      </c>
      <c r="AJ12" s="171">
        <f>(THG!AJ15)/1000</f>
        <v>112.53130393230737</v>
      </c>
      <c r="AK12" s="171">
        <f>(THG!AK15)/1000</f>
        <v>105.7692659881854</v>
      </c>
      <c r="AL12" s="29">
        <f>(THG!AL15)/1000</f>
        <v>105.91669858410634</v>
      </c>
      <c r="AM12" s="29"/>
      <c r="AN12" s="29"/>
      <c r="AO12" s="29"/>
      <c r="AP12" s="29"/>
      <c r="AQ12" s="29"/>
      <c r="AR12" s="29"/>
    </row>
    <row r="13" spans="2:44" ht="18.75" customHeight="1">
      <c r="B13" s="118" t="str">
        <f>THG!B16</f>
        <v>CRF 2.A - Herstellung mineralischer Produkte</v>
      </c>
      <c r="C13" s="89" t="s">
        <v>63</v>
      </c>
      <c r="D13" s="101">
        <f>(THG!D16)/1000</f>
        <v>23.52237700335959</v>
      </c>
      <c r="E13" s="101">
        <f>(THG!E16)/1000</f>
        <v>21.349780691256253</v>
      </c>
      <c r="F13" s="101">
        <f>(THG!F16)/1000</f>
        <v>22.135054345486108</v>
      </c>
      <c r="G13" s="101">
        <f>(THG!G16)/1000</f>
        <v>22.530875775271141</v>
      </c>
      <c r="H13" s="101">
        <f>(THG!H16)/1000</f>
        <v>24.133103080547361</v>
      </c>
      <c r="I13" s="101">
        <f>(THG!I16)/1000</f>
        <v>24.487421341301232</v>
      </c>
      <c r="J13" s="101">
        <f>(THG!J16)/1000</f>
        <v>23.079988502054999</v>
      </c>
      <c r="K13" s="101">
        <f>(THG!K16)/1000</f>
        <v>23.600760284535902</v>
      </c>
      <c r="L13" s="101">
        <f>(THG!L16)/1000</f>
        <v>23.600618765187221</v>
      </c>
      <c r="M13" s="101">
        <f>(THG!M16)/1000</f>
        <v>23.710802547403947</v>
      </c>
      <c r="N13" s="101">
        <f>(THG!N16)/1000</f>
        <v>23.265792589337654</v>
      </c>
      <c r="O13" s="101">
        <f>(THG!O16)/1000</f>
        <v>21.051263216725928</v>
      </c>
      <c r="P13" s="101">
        <f>(THG!P16)/1000</f>
        <v>20.147498665345225</v>
      </c>
      <c r="Q13" s="101">
        <f>(THG!Q16)/1000</f>
        <v>20.878760771206622</v>
      </c>
      <c r="R13" s="101">
        <f>(THG!R16)/1000</f>
        <v>21.406357267773959</v>
      </c>
      <c r="S13" s="101">
        <f>(THG!S16)/1000</f>
        <v>20.125529017977478</v>
      </c>
      <c r="T13" s="101">
        <f>(THG!T16)/1000</f>
        <v>20.599789467911357</v>
      </c>
      <c r="U13" s="101">
        <f>(THG!U16)/1000</f>
        <v>21.913613437772234</v>
      </c>
      <c r="V13" s="101">
        <f>(THG!V16)/1000</f>
        <v>20.88554824750776</v>
      </c>
      <c r="W13" s="101">
        <f>(THG!W16)/1000</f>
        <v>18.501861688396122</v>
      </c>
      <c r="X13" s="101">
        <f>(THG!X16)/1000</f>
        <v>18.97718202646637</v>
      </c>
      <c r="Y13" s="101">
        <f>(THG!Y16)/1000</f>
        <v>20.178988661134785</v>
      </c>
      <c r="Z13" s="101">
        <f>(THG!Z16)/1000</f>
        <v>19.665716849405289</v>
      </c>
      <c r="AA13" s="101">
        <f>(THG!AA16)/1000</f>
        <v>19.073370355693481</v>
      </c>
      <c r="AB13" s="101">
        <f>(THG!AB16)/1000</f>
        <v>19.638083771418035</v>
      </c>
      <c r="AC13" s="101">
        <f>(THG!AC16)/1000</f>
        <v>19.221312421853476</v>
      </c>
      <c r="AD13" s="101">
        <f>(THG!AD16)/1000</f>
        <v>19.228260527882799</v>
      </c>
      <c r="AE13" s="101">
        <f>(THG!AE16)/1000</f>
        <v>19.933552517479935</v>
      </c>
      <c r="AF13" s="101">
        <f>(THG!AF16)/1000</f>
        <v>19.807482634354653</v>
      </c>
      <c r="AG13" s="101">
        <f>(THG!AG16)/1000</f>
        <v>19.569242430160607</v>
      </c>
      <c r="AH13" s="172">
        <f>(THG!AH16)/1000</f>
        <v>19.201696960959183</v>
      </c>
      <c r="AI13" s="172">
        <f>(THG!AI16)/1000</f>
        <v>19.994870896526315</v>
      </c>
      <c r="AJ13" s="172">
        <f>(THG!AJ16)/1000</f>
        <v>18.727242961633909</v>
      </c>
      <c r="AK13" s="172">
        <f>(THG!AK16)/1000</f>
        <v>15.978605968516138</v>
      </c>
      <c r="AL13" s="91">
        <f>(THG!AL16)/1000</f>
        <v>14.8718879552</v>
      </c>
      <c r="AM13" s="91"/>
      <c r="AN13" s="91"/>
      <c r="AO13" s="91"/>
      <c r="AP13" s="91"/>
      <c r="AQ13" s="91"/>
      <c r="AR13" s="91"/>
    </row>
    <row r="14" spans="2:44" ht="18.75" customHeight="1">
      <c r="B14" s="119" t="str">
        <f>THG!B17</f>
        <v>CRF 2.B - Chemische Industrie</v>
      </c>
      <c r="C14" s="102" t="s">
        <v>63</v>
      </c>
      <c r="D14" s="100">
        <f>(THG!D17)/1000</f>
        <v>32.360362658454896</v>
      </c>
      <c r="E14" s="100">
        <f>(THG!E17)/1000</f>
        <v>31.639005342518388</v>
      </c>
      <c r="F14" s="100">
        <f>(THG!F17)/1000</f>
        <v>33.908044596102833</v>
      </c>
      <c r="G14" s="100">
        <f>(THG!G17)/1000</f>
        <v>31.742229896443945</v>
      </c>
      <c r="H14" s="100">
        <f>(THG!H17)/1000</f>
        <v>34.276364297723404</v>
      </c>
      <c r="I14" s="100">
        <f>(THG!I17)/1000</f>
        <v>34.162737040377891</v>
      </c>
      <c r="J14" s="100">
        <f>(THG!J17)/1000</f>
        <v>34.055793362154226</v>
      </c>
      <c r="K14" s="100">
        <f>(THG!K17)/1000</f>
        <v>31.773499032007329</v>
      </c>
      <c r="L14" s="100">
        <f>(THG!L17)/1000</f>
        <v>20.512068285618838</v>
      </c>
      <c r="M14" s="100">
        <f>(THG!M17)/1000</f>
        <v>16.512062056518864</v>
      </c>
      <c r="N14" s="100">
        <f>(THG!N17)/1000</f>
        <v>15.295845529538845</v>
      </c>
      <c r="O14" s="100">
        <f>(THG!O17)/1000</f>
        <v>16.310020082799461</v>
      </c>
      <c r="P14" s="100">
        <f>(THG!P17)/1000</f>
        <v>17.497352881791851</v>
      </c>
      <c r="Q14" s="100">
        <f>(THG!Q17)/1000</f>
        <v>17.073606918684849</v>
      </c>
      <c r="R14" s="100">
        <f>(THG!R17)/1000</f>
        <v>17.862715292087984</v>
      </c>
      <c r="S14" s="100">
        <f>(THG!S17)/1000</f>
        <v>17.403867534139255</v>
      </c>
      <c r="T14" s="100">
        <f>(THG!T17)/1000</f>
        <v>16.452553822738206</v>
      </c>
      <c r="U14" s="100">
        <f>(THG!U17)/1000</f>
        <v>18.826076878568191</v>
      </c>
      <c r="V14" s="100">
        <f>(THG!V17)/1000</f>
        <v>17.496223728216737</v>
      </c>
      <c r="W14" s="100">
        <f>(THG!W17)/1000</f>
        <v>17.181324007272092</v>
      </c>
      <c r="X14" s="100">
        <f>(THG!X17)/1000</f>
        <v>10.389540650091421</v>
      </c>
      <c r="Y14" s="100">
        <f>(THG!Y17)/1000</f>
        <v>9.7538833002644623</v>
      </c>
      <c r="Z14" s="100">
        <f>(THG!Z17)/1000</f>
        <v>9.614065278196767</v>
      </c>
      <c r="AA14" s="100">
        <f>(THG!AA17)/1000</f>
        <v>9.6361087569855783</v>
      </c>
      <c r="AB14" s="100">
        <f>(THG!AB17)/1000</f>
        <v>7.5856900954210893</v>
      </c>
      <c r="AC14" s="100">
        <f>(THG!AC17)/1000</f>
        <v>6.9269201651367949</v>
      </c>
      <c r="AD14" s="100">
        <f>(THG!AD17)/1000</f>
        <v>6.9585368348439722</v>
      </c>
      <c r="AE14" s="100">
        <f>(THG!AE17)/1000</f>
        <v>6.932245864741704</v>
      </c>
      <c r="AF14" s="100">
        <f>(THG!AF17)/1000</f>
        <v>6.7612787404060466</v>
      </c>
      <c r="AG14" s="100">
        <f>(THG!AG17)/1000</f>
        <v>6.5404705396890384</v>
      </c>
      <c r="AH14" s="171">
        <f>(THG!AH17)/1000</f>
        <v>6.5601087060580046</v>
      </c>
      <c r="AI14" s="171">
        <f>(THG!AI17)/1000</f>
        <v>6.4185045720066167</v>
      </c>
      <c r="AJ14" s="171">
        <f>(THG!AJ17)/1000</f>
        <v>5.2142160791539398</v>
      </c>
      <c r="AK14" s="171">
        <f>(THG!AK17)/1000</f>
        <v>4.7714165175935612</v>
      </c>
      <c r="AL14" s="29">
        <f>(THG!AL17)/1000</f>
        <v>5.6762251984840644</v>
      </c>
      <c r="AM14" s="29"/>
      <c r="AN14" s="29"/>
      <c r="AO14" s="29"/>
      <c r="AP14" s="29"/>
      <c r="AQ14" s="29"/>
      <c r="AR14" s="29"/>
    </row>
    <row r="15" spans="2:44" ht="18.75" customHeight="1">
      <c r="B15" s="118" t="str">
        <f>THG!B18</f>
        <v>CRF 2.C - Herstellung von Metallen</v>
      </c>
      <c r="C15" s="89" t="s">
        <v>63</v>
      </c>
      <c r="D15" s="101">
        <f>(THG!D18)/1000</f>
        <v>27.900741562229996</v>
      </c>
      <c r="E15" s="101">
        <f>(THG!E18)/1000</f>
        <v>26.909364120500001</v>
      </c>
      <c r="F15" s="101">
        <f>(THG!F18)/1000</f>
        <v>23.255906489500003</v>
      </c>
      <c r="G15" s="101">
        <f>(THG!G18)/1000</f>
        <v>23.565259039759997</v>
      </c>
      <c r="H15" s="101">
        <f>(THG!H18)/1000</f>
        <v>24.695446330703998</v>
      </c>
      <c r="I15" s="101">
        <f>(THG!I18)/1000</f>
        <v>22.632392640241072</v>
      </c>
      <c r="J15" s="101">
        <f>(THG!J18)/1000</f>
        <v>21.829753266647401</v>
      </c>
      <c r="K15" s="101">
        <f>(THG!K18)/1000</f>
        <v>23.450320019460502</v>
      </c>
      <c r="L15" s="101">
        <f>(THG!L18)/1000</f>
        <v>21.78237078270832</v>
      </c>
      <c r="M15" s="101">
        <f>(THG!M18)/1000</f>
        <v>19.397499676809527</v>
      </c>
      <c r="N15" s="101">
        <f>(THG!N18)/1000</f>
        <v>24.183512989136986</v>
      </c>
      <c r="O15" s="101">
        <f>(THG!O18)/1000</f>
        <v>21.337531623104741</v>
      </c>
      <c r="P15" s="101">
        <f>(THG!P18)/1000</f>
        <v>19.791080339131355</v>
      </c>
      <c r="Q15" s="101">
        <f>(THG!Q18)/1000</f>
        <v>22.094904205691677</v>
      </c>
      <c r="R15" s="101">
        <f>(THG!R18)/1000</f>
        <v>22.204629929218438</v>
      </c>
      <c r="S15" s="101">
        <f>(THG!S18)/1000</f>
        <v>20.790341029189499</v>
      </c>
      <c r="T15" s="101">
        <f>(THG!T18)/1000</f>
        <v>21.110097203638777</v>
      </c>
      <c r="U15" s="101">
        <f>(THG!U18)/1000</f>
        <v>20.101176629854965</v>
      </c>
      <c r="V15" s="101">
        <f>(THG!V18)/1000</f>
        <v>18.515135933570388</v>
      </c>
      <c r="W15" s="101">
        <f>(THG!W18)/1000</f>
        <v>13.137540458537719</v>
      </c>
      <c r="X15" s="101">
        <f>(THG!X18)/1000</f>
        <v>16.661484410414829</v>
      </c>
      <c r="Y15" s="101">
        <f>(THG!Y18)/1000</f>
        <v>17.236508485664185</v>
      </c>
      <c r="Z15" s="101">
        <f>(THG!Z18)/1000</f>
        <v>14.879060608255012</v>
      </c>
      <c r="AA15" s="101">
        <f>(THG!AA18)/1000</f>
        <v>15.375044641465658</v>
      </c>
      <c r="AB15" s="101">
        <f>(THG!AB18)/1000</f>
        <v>17.114747878477647</v>
      </c>
      <c r="AC15" s="101">
        <f>(THG!AC18)/1000</f>
        <v>17.021551401093639</v>
      </c>
      <c r="AD15" s="101">
        <f>(THG!AD18)/1000</f>
        <v>18.583937820572956</v>
      </c>
      <c r="AE15" s="101">
        <f>(THG!AE18)/1000</f>
        <v>21.822335931970368</v>
      </c>
      <c r="AF15" s="101">
        <f>(THG!AF18)/1000</f>
        <v>20.072745867323221</v>
      </c>
      <c r="AG15" s="101">
        <f>(THG!AG18)/1000</f>
        <v>18.183507978943638</v>
      </c>
      <c r="AH15" s="172">
        <f>(THG!AH18)/1000</f>
        <v>15.970707544018657</v>
      </c>
      <c r="AI15" s="172">
        <f>(THG!AI18)/1000</f>
        <v>17.702997135136712</v>
      </c>
      <c r="AJ15" s="172">
        <f>(THG!AJ18)/1000</f>
        <v>15.655245754616731</v>
      </c>
      <c r="AK15" s="172">
        <f>(THG!AK18)/1000</f>
        <v>15.078394159196698</v>
      </c>
      <c r="AL15" s="91">
        <f>(THG!AL18)/1000</f>
        <v>15.60777940981508</v>
      </c>
      <c r="AM15" s="91"/>
      <c r="AN15" s="91"/>
      <c r="AO15" s="91"/>
      <c r="AP15" s="91"/>
      <c r="AQ15" s="91"/>
      <c r="AR15" s="91"/>
    </row>
    <row r="16" spans="2:44" s="10" customFormat="1" ht="37.5" customHeight="1">
      <c r="B16" s="117" t="str">
        <f>THG!B19</f>
        <v>CRF 2.D-H - übrige Prozesse und Produktverwendungen</v>
      </c>
      <c r="C16" s="14" t="s">
        <v>63</v>
      </c>
      <c r="D16" s="100">
        <f>(THG!D19)/1000</f>
        <v>9.4944408470422523</v>
      </c>
      <c r="E16" s="100">
        <f>(THG!E19)/1000</f>
        <v>9.7124910418216537</v>
      </c>
      <c r="F16" s="100">
        <f>(THG!F19)/1000</f>
        <v>10.292241386125905</v>
      </c>
      <c r="G16" s="100">
        <f>(THG!G19)/1000</f>
        <v>13.016166953708833</v>
      </c>
      <c r="H16" s="100">
        <f>(THG!H19)/1000</f>
        <v>13.274110637845089</v>
      </c>
      <c r="I16" s="100">
        <f>(THG!I19)/1000</f>
        <v>13.526504148853677</v>
      </c>
      <c r="J16" s="100">
        <f>(THG!J19)/1000</f>
        <v>13.954492779365347</v>
      </c>
      <c r="K16" s="100">
        <f>(THG!K19)/1000</f>
        <v>14.687480472360308</v>
      </c>
      <c r="L16" s="100">
        <f>(THG!L19)/1000</f>
        <v>15.150952960255539</v>
      </c>
      <c r="M16" s="100">
        <f>(THG!M19)/1000</f>
        <v>13.825809680072169</v>
      </c>
      <c r="N16" s="100">
        <f>(THG!N19)/1000</f>
        <v>13.951325069321094</v>
      </c>
      <c r="O16" s="100">
        <f>(THG!O19)/1000</f>
        <v>14.391699688239671</v>
      </c>
      <c r="P16" s="100">
        <f>(THG!P19)/1000</f>
        <v>14.104869865304019</v>
      </c>
      <c r="Q16" s="100">
        <f>(THG!Q19)/1000</f>
        <v>14.115032502733763</v>
      </c>
      <c r="R16" s="100">
        <f>(THG!R19)/1000</f>
        <v>14.45752793787789</v>
      </c>
      <c r="S16" s="100">
        <f>(THG!S19)/1000</f>
        <v>14.475187822129618</v>
      </c>
      <c r="T16" s="100">
        <f>(THG!T19)/1000</f>
        <v>14.926313215620725</v>
      </c>
      <c r="U16" s="100">
        <f>(THG!U19)/1000</f>
        <v>15.394080146593126</v>
      </c>
      <c r="V16" s="100">
        <f>(THG!V19)/1000</f>
        <v>15.181485676933505</v>
      </c>
      <c r="W16" s="100">
        <f>(THG!W19)/1000</f>
        <v>15.291294879392208</v>
      </c>
      <c r="X16" s="100">
        <f>(THG!X19)/1000</f>
        <v>15.854810856414311</v>
      </c>
      <c r="Y16" s="100">
        <f>(THG!Y19)/1000</f>
        <v>16.146131031716212</v>
      </c>
      <c r="Z16" s="100">
        <f>(THG!Z19)/1000</f>
        <v>16.343052781946586</v>
      </c>
      <c r="AA16" s="100">
        <f>(THG!AA19)/1000</f>
        <v>16.281431034008413</v>
      </c>
      <c r="AB16" s="100">
        <f>(THG!AB19)/1000</f>
        <v>16.313273650370594</v>
      </c>
      <c r="AC16" s="100">
        <f>(THG!AC19)/1000</f>
        <v>16.691661546552655</v>
      </c>
      <c r="AD16" s="100">
        <f>(THG!AD19)/1000</f>
        <v>16.806777403330248</v>
      </c>
      <c r="AE16" s="100">
        <f>(THG!AE19)/1000</f>
        <v>16.800340462953862</v>
      </c>
      <c r="AF16" s="100">
        <f>(THG!AF19)/1000</f>
        <v>15.894049114424478</v>
      </c>
      <c r="AG16" s="100">
        <f>(THG!AG19)/1000</f>
        <v>15.148942484842665</v>
      </c>
      <c r="AH16" s="171">
        <f>(THG!AH19)/1000</f>
        <v>13.613580415352837</v>
      </c>
      <c r="AI16" s="171">
        <f>(THG!AI19)/1000</f>
        <v>13.134358180302351</v>
      </c>
      <c r="AJ16" s="171">
        <f>(THG!AJ19)/1000</f>
        <v>12.237140468329745</v>
      </c>
      <c r="AK16" s="171">
        <f>(THG!AK19)/1000</f>
        <v>11.326056038727048</v>
      </c>
      <c r="AL16" s="29">
        <f>(THG!AL19)/1000</f>
        <v>10.934681960655732</v>
      </c>
      <c r="AM16" s="29"/>
      <c r="AN16" s="29"/>
      <c r="AO16" s="29"/>
      <c r="AP16" s="29"/>
      <c r="AQ16" s="29"/>
      <c r="AR16" s="29"/>
    </row>
    <row r="17" spans="2:44" ht="18.75" customHeight="1">
      <c r="B17" s="153" t="s">
        <v>71</v>
      </c>
      <c r="C17" s="22" t="s">
        <v>63</v>
      </c>
      <c r="D17" s="170">
        <f>(THG!D14)/1000</f>
        <v>277.7030828141236</v>
      </c>
      <c r="E17" s="170">
        <f>(THG!E14)/1000</f>
        <v>252.3759643288675</v>
      </c>
      <c r="F17" s="170">
        <f>(THG!F14)/1000</f>
        <v>241.06698950376713</v>
      </c>
      <c r="G17" s="170">
        <f>(THG!G14)/1000</f>
        <v>231.34568923747653</v>
      </c>
      <c r="H17" s="170">
        <f>(THG!H14)/1000</f>
        <v>234.90362143561188</v>
      </c>
      <c r="I17" s="170">
        <f>(THG!I14)/1000</f>
        <v>236.78528481656502</v>
      </c>
      <c r="J17" s="170">
        <f>(THG!J14)/1000</f>
        <v>225.57071931643364</v>
      </c>
      <c r="K17" s="170">
        <f>(THG!K14)/1000</f>
        <v>230.12972744884351</v>
      </c>
      <c r="L17" s="170">
        <f>(THG!L14)/1000</f>
        <v>213.14065542267767</v>
      </c>
      <c r="M17" s="170">
        <f>(THG!M14)/1000</f>
        <v>203.03184220372023</v>
      </c>
      <c r="N17" s="170">
        <f>(THG!N14)/1000</f>
        <v>202.59785035506664</v>
      </c>
      <c r="O17" s="170">
        <f>(THG!O14)/1000</f>
        <v>191.9757813343426</v>
      </c>
      <c r="P17" s="170">
        <f>(THG!P14)/1000</f>
        <v>189.76124792463227</v>
      </c>
      <c r="Q17" s="170">
        <f>(THG!Q14)/1000</f>
        <v>189.09781904205934</v>
      </c>
      <c r="R17" s="170">
        <f>(THG!R14)/1000</f>
        <v>189.12105735574218</v>
      </c>
      <c r="S17" s="170">
        <f>(THG!S14)/1000</f>
        <v>186.38010528444084</v>
      </c>
      <c r="T17" s="170">
        <f>(THG!T14)/1000</f>
        <v>190.92928168808112</v>
      </c>
      <c r="U17" s="170">
        <f>(THG!U14)/1000</f>
        <v>199.08093744502912</v>
      </c>
      <c r="V17" s="170">
        <f>(THG!V14)/1000</f>
        <v>195.58361002161675</v>
      </c>
      <c r="W17" s="170">
        <f>(THG!W14)/1000</f>
        <v>169.9450876249542</v>
      </c>
      <c r="X17" s="170">
        <f>(THG!X14)/1000</f>
        <v>184.05948457331422</v>
      </c>
      <c r="Y17" s="170">
        <f>(THG!Y14)/1000</f>
        <v>182.19594994908741</v>
      </c>
      <c r="Z17" s="170">
        <f>(THG!Z14)/1000</f>
        <v>177.38101732424116</v>
      </c>
      <c r="AA17" s="170">
        <f>(THG!AA14)/1000</f>
        <v>177.04641104837395</v>
      </c>
      <c r="AB17" s="170">
        <f>(THG!AB14)/1000</f>
        <v>176.28929367334746</v>
      </c>
      <c r="AC17" s="170">
        <f>(THG!AC14)/1000</f>
        <v>183.01875305607606</v>
      </c>
      <c r="AD17" s="170">
        <f>(THG!AD14)/1000</f>
        <v>186.83780660551463</v>
      </c>
      <c r="AE17" s="170">
        <f>(THG!AE14)/1000</f>
        <v>192.58411720378123</v>
      </c>
      <c r="AF17" s="170">
        <f>(THG!AF14)/1000</f>
        <v>184.96605950656451</v>
      </c>
      <c r="AG17" s="170">
        <f>(THG!AG14)/1000</f>
        <v>179.31832500051271</v>
      </c>
      <c r="AH17" s="170">
        <f>(THG!AH14)/1000</f>
        <v>172.5772476282672</v>
      </c>
      <c r="AI17" s="170">
        <f>(THG!AI14)/1000</f>
        <v>180.29299681195212</v>
      </c>
      <c r="AJ17" s="170">
        <f>(THG!AJ14)/1000</f>
        <v>164.3651491960417</v>
      </c>
      <c r="AK17" s="170">
        <f>(THG!AK14)/1000</f>
        <v>152.92373867221883</v>
      </c>
      <c r="AL17" s="165">
        <f>(THG!AL14)/1000</f>
        <v>153.00727310826122</v>
      </c>
      <c r="AM17" s="165"/>
      <c r="AN17" s="165"/>
      <c r="AO17" s="165"/>
      <c r="AP17" s="165"/>
      <c r="AQ17" s="165"/>
      <c r="AR17" s="165"/>
    </row>
    <row r="18" spans="2:44" ht="18.75" customHeight="1">
      <c r="B18" s="119" t="s">
        <v>116</v>
      </c>
      <c r="C18" s="102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>
        <f ca="1">'THG kurz'!AA31/1000</f>
        <v>150.78318197599998</v>
      </c>
      <c r="AB18" s="171">
        <f ca="1">'THG kurz'!AB31/1000</f>
        <v>151.66363896600001</v>
      </c>
      <c r="AC18" s="171">
        <f ca="1">'THG kurz'!AC31/1000</f>
        <v>151.48450023099997</v>
      </c>
      <c r="AD18" s="171">
        <f ca="1">'THG kurz'!AD31/1000</f>
        <v>151.705101192</v>
      </c>
      <c r="AE18" s="171">
        <f ca="1">'THG kurz'!AE31/1000</f>
        <v>154.330410731</v>
      </c>
      <c r="AF18" s="171">
        <f ca="1">'THG kurz'!AF31/1000</f>
        <v>152.37575842299998</v>
      </c>
      <c r="AG18" s="171">
        <f ca="1">'THG kurz'!AG31/1000</f>
        <v>146.17388799999998</v>
      </c>
      <c r="AH18" s="171">
        <f ca="1">'THG kurz'!AH31/1000</f>
        <v>137.125524845</v>
      </c>
      <c r="AI18" s="171">
        <f ca="1">'THG kurz'!AI31/1000</f>
        <v>145.74869454200001</v>
      </c>
      <c r="AJ18" s="171">
        <f ca="1">'THG kurz'!AJ31/1000</f>
        <v>132.42863200000002</v>
      </c>
      <c r="AK18" s="171">
        <f ca="1">'THG kurz'!AK31/1000</f>
        <v>120.32753827654277</v>
      </c>
      <c r="AL18" s="168"/>
      <c r="AM18" s="168"/>
      <c r="AN18" s="168"/>
      <c r="AO18" s="168"/>
      <c r="AP18" s="168"/>
      <c r="AQ18" s="168"/>
      <c r="AR18" s="168"/>
    </row>
    <row r="19" spans="2:44" ht="18.75" customHeight="1">
      <c r="B19" s="153" t="s">
        <v>9</v>
      </c>
      <c r="C19" s="22" t="str">
        <f>'Daten Zielpfadgrafik'!C24</f>
        <v>aktueller Zielpfad**</v>
      </c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>
        <f>'Daten Zielpfadgrafik'!AH24</f>
        <v>186</v>
      </c>
      <c r="AI19" s="170">
        <f>'Daten Zielpfadgrafik'!AI24</f>
        <v>182</v>
      </c>
      <c r="AJ19" s="170">
        <f>'Daten Zielpfadgrafik'!AJ24</f>
        <v>176.86086659631175</v>
      </c>
      <c r="AK19" s="165">
        <f>'Daten Zielpfadgrafik'!AK24</f>
        <v>172.985406483856</v>
      </c>
      <c r="AL19" s="165">
        <f>'Daten Zielpfadgrafik'!AL24</f>
        <v>168.85135902837558</v>
      </c>
      <c r="AM19" s="165">
        <f>'Daten Zielpfadgrafik'!AM24</f>
        <v>163.49204001506132</v>
      </c>
      <c r="AN19" s="165">
        <f>'Daten Zielpfadgrafik'!AN24</f>
        <v>155.49204001506132</v>
      </c>
      <c r="AO19" s="165">
        <f>'Daten Zielpfadgrafik'!AO24</f>
        <v>146.49204001506132</v>
      </c>
      <c r="AP19" s="165">
        <f>'Daten Zielpfadgrafik'!AP24</f>
        <v>138.49204001506132</v>
      </c>
      <c r="AQ19" s="165">
        <f>'Daten Zielpfadgrafik'!AQ24</f>
        <v>131.49204001506129</v>
      </c>
      <c r="AR19" s="165">
        <f>'Daten Zielpfadgrafik'!AR24</f>
        <v>124.49204001506129</v>
      </c>
    </row>
    <row r="20" spans="2:44" ht="14.25" customHeight="1">
      <c r="B20" s="7"/>
      <c r="C20" s="16"/>
    </row>
  </sheetData>
  <mergeCells count="1">
    <mergeCell ref="C7:J7"/>
  </mergeCells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B658A-CCDD-447D-9779-7E9F166C72FA}">
  <sheetPr>
    <tabColor theme="7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1" customWidth="1"/>
    <col min="2" max="2" width="4.28515625" style="41" customWidth="1"/>
    <col min="3" max="3" width="1.7109375" style="41" customWidth="1"/>
    <col min="4" max="4" width="14" style="41" customWidth="1"/>
    <col min="5" max="5" width="1.7109375" style="41" customWidth="1"/>
    <col min="6" max="6" width="14" style="41" customWidth="1"/>
    <col min="7" max="7" width="1.7109375" style="41" customWidth="1"/>
    <col min="8" max="8" width="14" style="41" customWidth="1"/>
    <col min="9" max="9" width="1.7109375" style="41" customWidth="1"/>
    <col min="10" max="10" width="14" style="41" customWidth="1"/>
    <col min="11" max="11" width="1.7109375" style="41" customWidth="1"/>
    <col min="12" max="12" width="14" style="41" customWidth="1"/>
    <col min="13" max="13" width="3.140625" style="41" customWidth="1"/>
    <col min="14" max="14" width="1.42578125" style="41" customWidth="1"/>
    <col min="15" max="15" width="15.140625" style="41" customWidth="1"/>
    <col min="16" max="16" width="2.5703125" style="42" customWidth="1"/>
    <col min="17" max="19" width="11.7109375" style="42" customWidth="1"/>
    <col min="20" max="20" width="4" style="42" customWidth="1"/>
    <col min="21" max="22" width="11.7109375" style="42" customWidth="1"/>
    <col min="23" max="23" width="19.140625" style="42" customWidth="1"/>
    <col min="24" max="24" width="2.5703125" style="42" customWidth="1"/>
    <col min="25" max="16384" width="11.42578125" style="42"/>
  </cols>
  <sheetData>
    <row r="1" spans="1:24" ht="20.25" customHeight="1">
      <c r="A1" s="40"/>
    </row>
    <row r="2" spans="1:24" ht="20.2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P2" s="225" t="s">
        <v>62</v>
      </c>
      <c r="Q2" s="226"/>
      <c r="R2" s="226"/>
      <c r="S2" s="226"/>
      <c r="T2" s="226"/>
      <c r="U2" s="226"/>
      <c r="V2" s="226"/>
      <c r="W2" s="226"/>
      <c r="X2" s="227"/>
    </row>
    <row r="3" spans="1:24" ht="18.7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P3" s="45"/>
      <c r="Q3" s="46"/>
      <c r="R3" s="47"/>
      <c r="S3" s="46"/>
      <c r="T3" s="46"/>
      <c r="U3" s="47"/>
      <c r="V3" s="46"/>
      <c r="W3" s="46"/>
      <c r="X3" s="48"/>
    </row>
    <row r="4" spans="1:24" ht="15.9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P4" s="45"/>
      <c r="Q4" s="46"/>
      <c r="R4" s="46"/>
      <c r="S4" s="46"/>
      <c r="T4" s="46"/>
      <c r="U4" s="46"/>
      <c r="V4" s="46"/>
      <c r="W4" s="46"/>
      <c r="X4" s="48"/>
    </row>
    <row r="5" spans="1:24" ht="7.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P5" s="50"/>
      <c r="Q5" s="51"/>
      <c r="R5" s="51"/>
      <c r="S5" s="51"/>
      <c r="T5" s="51"/>
      <c r="U5" s="51"/>
      <c r="V5" s="51"/>
      <c r="W5" s="51"/>
      <c r="X5" s="52"/>
    </row>
    <row r="6" spans="1:24" ht="16.5" customHeight="1">
      <c r="B6" s="53"/>
      <c r="P6" s="50"/>
      <c r="Q6" s="51"/>
      <c r="R6" s="51"/>
      <c r="S6" s="51"/>
      <c r="T6" s="51"/>
      <c r="U6" s="51"/>
      <c r="V6" s="51"/>
      <c r="W6" s="51"/>
      <c r="X6" s="52"/>
    </row>
    <row r="7" spans="1:24" ht="16.5" customHeight="1">
      <c r="B7" s="53"/>
      <c r="P7" s="50"/>
      <c r="Q7" s="51"/>
      <c r="R7" s="51"/>
      <c r="S7" s="51"/>
      <c r="T7" s="51"/>
      <c r="U7" s="51"/>
      <c r="V7" s="51"/>
      <c r="W7" s="51"/>
      <c r="X7" s="52"/>
    </row>
    <row r="8" spans="1:24" ht="16.5" customHeight="1">
      <c r="B8" s="53"/>
      <c r="P8" s="50"/>
      <c r="Q8" s="51"/>
      <c r="R8" s="51"/>
      <c r="S8" s="51"/>
      <c r="T8" s="51"/>
      <c r="U8" s="51"/>
      <c r="V8" s="51"/>
      <c r="W8" s="51"/>
      <c r="X8" s="52"/>
    </row>
    <row r="9" spans="1:24" ht="16.5" customHeight="1">
      <c r="B9" s="53"/>
      <c r="P9" s="50"/>
      <c r="Q9" s="51"/>
      <c r="R9" s="51"/>
      <c r="S9" s="51"/>
      <c r="T9" s="51"/>
      <c r="U9" s="51"/>
      <c r="V9" s="51"/>
      <c r="W9" s="51"/>
      <c r="X9" s="52"/>
    </row>
    <row r="10" spans="1:24" ht="16.5" customHeight="1">
      <c r="B10" s="53"/>
      <c r="P10" s="50"/>
      <c r="Q10" s="51"/>
      <c r="R10" s="51"/>
      <c r="S10" s="51"/>
      <c r="T10" s="51"/>
      <c r="U10" s="51"/>
      <c r="V10" s="51"/>
      <c r="W10" s="51"/>
      <c r="X10" s="52"/>
    </row>
    <row r="11" spans="1:24" ht="16.5" customHeight="1">
      <c r="B11" s="53"/>
      <c r="P11" s="50"/>
      <c r="Q11" s="54" t="s">
        <v>61</v>
      </c>
      <c r="R11" s="51"/>
      <c r="S11" s="51"/>
      <c r="T11" s="51"/>
      <c r="U11" s="51"/>
      <c r="V11" s="51"/>
      <c r="W11" s="51"/>
      <c r="X11" s="52"/>
    </row>
    <row r="12" spans="1:24" ht="16.5" customHeight="1">
      <c r="B12" s="53"/>
      <c r="P12" s="50"/>
      <c r="Q12" s="51"/>
      <c r="R12" s="51"/>
      <c r="S12" s="51"/>
      <c r="T12" s="51"/>
      <c r="U12" s="51"/>
      <c r="V12" s="51"/>
      <c r="W12" s="51"/>
      <c r="X12" s="52"/>
    </row>
    <row r="13" spans="1:24" ht="17.25" customHeight="1">
      <c r="B13" s="53"/>
      <c r="P13" s="50"/>
      <c r="Q13" s="54" t="s">
        <v>60</v>
      </c>
      <c r="R13" s="51"/>
      <c r="S13" s="51"/>
      <c r="T13" s="51"/>
      <c r="U13" s="51"/>
      <c r="V13" s="51"/>
      <c r="W13" s="51"/>
      <c r="X13" s="52"/>
    </row>
    <row r="14" spans="1:24" ht="16.5" customHeight="1">
      <c r="B14" s="53"/>
      <c r="P14" s="50"/>
      <c r="Q14" s="51"/>
      <c r="R14" s="51"/>
      <c r="S14" s="51"/>
      <c r="T14" s="51"/>
      <c r="U14" s="51"/>
      <c r="V14" s="51"/>
      <c r="W14" s="51"/>
      <c r="X14" s="52"/>
    </row>
    <row r="15" spans="1:24" ht="16.5" customHeight="1">
      <c r="A15" s="55"/>
      <c r="B15" s="5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0"/>
      <c r="Q15" s="51"/>
      <c r="R15" s="54" t="s">
        <v>59</v>
      </c>
      <c r="S15" s="51"/>
      <c r="T15" s="51"/>
      <c r="U15" s="54" t="s">
        <v>59</v>
      </c>
      <c r="V15" s="51"/>
      <c r="W15" s="51"/>
      <c r="X15" s="52"/>
    </row>
    <row r="16" spans="1:24" ht="16.5" customHeight="1">
      <c r="A16" s="55"/>
      <c r="B16" s="56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0"/>
      <c r="Q16" s="51"/>
      <c r="R16" s="51"/>
      <c r="S16" s="51"/>
      <c r="T16" s="51"/>
      <c r="U16" s="51"/>
      <c r="V16" s="51"/>
      <c r="W16" s="51"/>
      <c r="X16" s="52"/>
    </row>
    <row r="17" spans="1:24" ht="16.5" customHeight="1">
      <c r="A17" s="55"/>
      <c r="B17" s="56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0"/>
      <c r="Q17" s="51"/>
      <c r="R17" s="51"/>
      <c r="S17" s="51"/>
      <c r="T17" s="51"/>
      <c r="U17" s="51"/>
      <c r="V17" s="51"/>
      <c r="W17" s="51"/>
      <c r="X17" s="52"/>
    </row>
    <row r="18" spans="1:24" ht="22.5" customHeight="1">
      <c r="A18" s="55"/>
      <c r="B18" s="56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0"/>
      <c r="Q18" s="51"/>
      <c r="R18" s="51"/>
      <c r="S18" s="51"/>
      <c r="T18" s="51"/>
      <c r="U18" s="51"/>
      <c r="V18" s="51"/>
      <c r="W18" s="51"/>
      <c r="X18" s="52"/>
    </row>
    <row r="19" spans="1:24" ht="87" customHeight="1">
      <c r="A19" s="57"/>
      <c r="B19" s="58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5"/>
      <c r="O19" s="55"/>
      <c r="P19" s="59"/>
      <c r="Q19" s="60"/>
      <c r="R19" s="60"/>
      <c r="S19" s="60"/>
      <c r="T19" s="60"/>
      <c r="U19" s="60"/>
      <c r="V19" s="60"/>
      <c r="W19" s="60"/>
      <c r="X19" s="61"/>
    </row>
    <row r="20" spans="1:24" ht="9" customHeight="1">
      <c r="A20" s="57"/>
      <c r="B20" s="58"/>
      <c r="C20" s="57"/>
      <c r="D20" s="224"/>
      <c r="E20" s="57"/>
      <c r="F20" s="224"/>
      <c r="G20" s="57"/>
      <c r="H20" s="224"/>
      <c r="I20" s="57"/>
      <c r="J20" s="224"/>
      <c r="K20" s="57"/>
      <c r="L20" s="224"/>
      <c r="M20" s="57"/>
      <c r="N20" s="55"/>
      <c r="O20" s="55"/>
    </row>
    <row r="21" spans="1:24" ht="11.25" customHeight="1">
      <c r="A21" s="57"/>
      <c r="B21" s="58"/>
      <c r="C21" s="57"/>
      <c r="D21" s="224"/>
      <c r="E21" s="57"/>
      <c r="F21" s="224"/>
      <c r="G21" s="57"/>
      <c r="H21" s="224"/>
      <c r="I21" s="57"/>
      <c r="J21" s="224"/>
      <c r="K21" s="57"/>
      <c r="L21" s="224"/>
      <c r="M21" s="57"/>
      <c r="N21" s="55"/>
      <c r="O21" s="55"/>
    </row>
    <row r="22" spans="1:24" ht="3.75" customHeight="1">
      <c r="A22" s="57"/>
      <c r="B22" s="58"/>
      <c r="C22" s="57"/>
      <c r="D22" s="93"/>
      <c r="E22" s="57"/>
      <c r="F22" s="93"/>
      <c r="G22" s="57"/>
      <c r="H22" s="93"/>
      <c r="I22" s="57"/>
      <c r="J22" s="93"/>
      <c r="K22" s="57"/>
      <c r="L22" s="93"/>
      <c r="M22" s="57"/>
      <c r="N22" s="55"/>
      <c r="O22" s="55"/>
    </row>
    <row r="23" spans="1:24" ht="9" customHeight="1">
      <c r="A23" s="57"/>
      <c r="B23" s="58"/>
      <c r="C23" s="57"/>
      <c r="D23" s="224"/>
      <c r="E23" s="57"/>
      <c r="F23" s="224"/>
      <c r="G23" s="57"/>
      <c r="H23" s="224"/>
      <c r="I23" s="57"/>
      <c r="J23" s="224"/>
      <c r="K23" s="57"/>
      <c r="L23" s="224"/>
      <c r="M23" s="57"/>
      <c r="N23" s="55"/>
      <c r="O23" s="55"/>
    </row>
    <row r="24" spans="1:24" ht="9" customHeight="1">
      <c r="A24" s="57"/>
      <c r="B24" s="58"/>
      <c r="C24" s="57"/>
      <c r="D24" s="224"/>
      <c r="E24" s="57"/>
      <c r="F24" s="224"/>
      <c r="G24" s="57"/>
      <c r="H24" s="224"/>
      <c r="I24" s="57"/>
      <c r="J24" s="224"/>
      <c r="K24" s="57"/>
      <c r="L24" s="224"/>
      <c r="M24" s="57"/>
      <c r="N24" s="55"/>
      <c r="O24" s="55"/>
    </row>
    <row r="25" spans="1:24" ht="16.5" customHeight="1">
      <c r="A25" s="55"/>
      <c r="B25" s="56"/>
      <c r="C25" s="63"/>
      <c r="D25" s="63"/>
      <c r="E25" s="63"/>
      <c r="F25" s="63"/>
      <c r="G25" s="63"/>
      <c r="H25" s="63"/>
      <c r="I25" s="63"/>
      <c r="J25" s="63"/>
      <c r="K25" s="63"/>
      <c r="L25" s="55"/>
      <c r="M25" s="55"/>
      <c r="N25" s="55"/>
      <c r="O25" s="55"/>
    </row>
    <row r="26" spans="1:24" ht="21.7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</row>
    <row r="27" spans="1:24" ht="6.75" customHeight="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</row>
    <row r="28" spans="1:24" ht="6" customHeight="1">
      <c r="A28" s="64"/>
      <c r="B28" s="64"/>
      <c r="C28" s="6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</row>
    <row r="29" spans="1:24" ht="4.5" customHeight="1">
      <c r="A29" s="64"/>
      <c r="B29" s="64"/>
      <c r="C29" s="6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</row>
    <row r="30" spans="1:24" ht="6" customHeight="1">
      <c r="A30" s="64"/>
      <c r="B30" s="64"/>
      <c r="C30" s="64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</row>
    <row r="31" spans="1:24" ht="6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</row>
    <row r="32" spans="1:24" ht="4.5" customHeight="1">
      <c r="A32" s="55"/>
      <c r="B32" s="55"/>
      <c r="C32" s="55"/>
      <c r="D32" s="55"/>
      <c r="E32" s="55"/>
      <c r="F32" s="55"/>
      <c r="G32" s="66"/>
      <c r="H32" s="66"/>
      <c r="I32" s="66"/>
      <c r="J32" s="66"/>
      <c r="K32" s="66"/>
      <c r="L32" s="55"/>
      <c r="M32" s="55"/>
      <c r="N32" s="55"/>
      <c r="O32" s="55"/>
    </row>
    <row r="33" spans="1:15" ht="18" customHeight="1">
      <c r="A33" s="67"/>
      <c r="B33" s="67"/>
      <c r="C33" s="67"/>
      <c r="D33" s="67"/>
      <c r="E33" s="67"/>
      <c r="F33" s="66"/>
      <c r="G33" s="66"/>
      <c r="H33" s="66"/>
      <c r="I33" s="66"/>
      <c r="J33" s="66"/>
      <c r="K33" s="66"/>
      <c r="L33" s="55"/>
      <c r="M33" s="55"/>
      <c r="N33" s="55"/>
      <c r="O33" s="55"/>
    </row>
    <row r="34" spans="1:15">
      <c r="A34" s="67"/>
      <c r="B34" s="67"/>
      <c r="C34" s="67"/>
      <c r="D34" s="67"/>
      <c r="E34" s="67"/>
      <c r="F34" s="66"/>
      <c r="G34" s="66"/>
      <c r="H34" s="66"/>
      <c r="I34" s="66"/>
      <c r="J34" s="66"/>
      <c r="K34" s="66"/>
      <c r="L34" s="55"/>
      <c r="M34" s="55"/>
      <c r="N34" s="55"/>
      <c r="O34" s="55"/>
    </row>
    <row r="35" spans="1:15">
      <c r="A35" s="67"/>
      <c r="B35" s="67"/>
      <c r="C35" s="67"/>
      <c r="D35" s="67"/>
      <c r="E35" s="67"/>
      <c r="F35" s="66"/>
      <c r="G35" s="66"/>
      <c r="H35" s="66"/>
      <c r="I35" s="66"/>
      <c r="J35" s="66"/>
      <c r="K35" s="66"/>
      <c r="L35" s="55"/>
      <c r="M35" s="55"/>
      <c r="N35" s="55"/>
      <c r="O35" s="55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673D-769A-4992-B9F9-CA65A7E7C0BD}">
  <sheetPr>
    <tabColor theme="6"/>
  </sheetPr>
  <dimension ref="B1:AR18"/>
  <sheetViews>
    <sheetView showGridLines="0" zoomScale="85" zoomScaleNormal="85" zoomScalePageLayoutView="150" workbookViewId="0">
      <pane xSplit="3" ySplit="11" topLeftCell="X12" activePane="bottomRight" state="frozen"/>
      <selection activeCell="D17" sqref="D17:AG17"/>
      <selection pane="topRight" activeCell="D17" sqref="D17:AG17"/>
      <selection pane="bottomLeft" activeCell="D17" sqref="D17:AG17"/>
      <selection pane="bottomRight" activeCell="C1" sqref="C1"/>
    </sheetView>
  </sheetViews>
  <sheetFormatPr baseColWidth="10" defaultColWidth="11.42578125" defaultRowHeight="15" outlineLevelCol="1"/>
  <cols>
    <col min="1" max="1" width="5.42578125" style="88" customWidth="1"/>
    <col min="2" max="2" width="39.7109375" style="88" customWidth="1"/>
    <col min="3" max="3" width="63.85546875" style="17" customWidth="1"/>
    <col min="4" max="23" width="9.42578125" style="88" hidden="1" customWidth="1" outlineLevel="1"/>
    <col min="24" max="24" width="9.42578125" style="88" customWidth="1" collapsed="1"/>
    <col min="25" max="44" width="9.42578125" style="88" customWidth="1"/>
    <col min="45" max="16384" width="11.42578125" style="88"/>
  </cols>
  <sheetData>
    <row r="1" spans="2:44" s="83" customFormat="1" ht="23.25" customHeight="1">
      <c r="B1" s="79" t="s">
        <v>58</v>
      </c>
      <c r="C1" s="95" t="s">
        <v>67</v>
      </c>
      <c r="D1" s="96"/>
      <c r="E1" s="96"/>
      <c r="F1" s="96"/>
      <c r="G1" s="96"/>
      <c r="H1" s="96"/>
      <c r="I1" s="96"/>
      <c r="J1" s="96"/>
      <c r="K1" s="97"/>
      <c r="AK1" s="38"/>
      <c r="AL1" s="84"/>
    </row>
    <row r="2" spans="2:44" s="83" customFormat="1" ht="23.25" customHeight="1">
      <c r="B2" s="79" t="s">
        <v>56</v>
      </c>
      <c r="C2" s="95" t="s">
        <v>123</v>
      </c>
      <c r="D2" s="96"/>
      <c r="E2" s="96"/>
      <c r="F2" s="96"/>
      <c r="G2" s="96"/>
      <c r="H2" s="96"/>
      <c r="I2" s="96"/>
      <c r="J2" s="96"/>
      <c r="K2" s="97"/>
      <c r="AK2" s="38"/>
    </row>
    <row r="3" spans="2:44" s="83" customFormat="1" ht="23.25" customHeight="1">
      <c r="B3" s="79" t="s">
        <v>55</v>
      </c>
      <c r="C3" s="98">
        <f ca="1">TODAY()</f>
        <v>45727</v>
      </c>
      <c r="D3" s="99"/>
      <c r="E3" s="99"/>
      <c r="F3" s="99"/>
      <c r="G3" s="99"/>
      <c r="H3" s="99"/>
      <c r="I3" s="99"/>
      <c r="J3" s="99"/>
      <c r="K3" s="99"/>
      <c r="AK3" s="38"/>
    </row>
    <row r="4" spans="2:44" s="83" customFormat="1" ht="23.25" customHeight="1">
      <c r="B4" s="79" t="s">
        <v>117</v>
      </c>
      <c r="C4" s="95" t="s">
        <v>102</v>
      </c>
      <c r="D4" s="96"/>
      <c r="E4" s="96"/>
      <c r="F4" s="96"/>
      <c r="G4" s="96"/>
      <c r="H4" s="96"/>
      <c r="I4" s="96"/>
      <c r="J4" s="96"/>
      <c r="K4" s="97"/>
    </row>
    <row r="5" spans="2:44" s="83" customFormat="1" ht="23.25" customHeight="1">
      <c r="B5" s="79" t="s">
        <v>118</v>
      </c>
      <c r="C5" s="188" t="s">
        <v>119</v>
      </c>
      <c r="D5" s="189"/>
      <c r="E5" s="189"/>
      <c r="F5" s="189"/>
      <c r="G5" s="189"/>
      <c r="H5" s="189"/>
      <c r="I5" s="189"/>
      <c r="J5" s="189"/>
      <c r="K5" s="97"/>
    </row>
    <row r="6" spans="2:44" s="83" customFormat="1" ht="23.25" customHeight="1">
      <c r="B6" s="79" t="s">
        <v>53</v>
      </c>
      <c r="C6" s="95" t="s">
        <v>65</v>
      </c>
      <c r="D6" s="96"/>
      <c r="E6" s="96"/>
      <c r="F6" s="96"/>
      <c r="G6" s="96"/>
      <c r="H6" s="96"/>
      <c r="I6" s="96"/>
      <c r="J6" s="96"/>
      <c r="K6" s="97"/>
    </row>
    <row r="7" spans="2:44" s="83" customFormat="1" ht="23.25" customHeight="1">
      <c r="B7" s="79" t="s">
        <v>52</v>
      </c>
      <c r="C7" s="95"/>
      <c r="D7" s="96"/>
      <c r="E7" s="96"/>
      <c r="F7" s="96"/>
      <c r="G7" s="96"/>
      <c r="H7" s="96"/>
      <c r="I7" s="96"/>
      <c r="J7" s="96"/>
      <c r="K7" s="97"/>
      <c r="AK7" s="38"/>
    </row>
    <row r="8" spans="2:44">
      <c r="B8" s="80"/>
      <c r="C8" s="81"/>
      <c r="D8" s="80"/>
      <c r="E8" s="80"/>
      <c r="F8" s="80"/>
      <c r="G8" s="80"/>
      <c r="H8" s="80"/>
      <c r="I8" s="80"/>
      <c r="J8" s="80"/>
      <c r="K8" s="80"/>
    </row>
    <row r="9" spans="2:44" ht="14.25" customHeight="1">
      <c r="B9" s="1"/>
      <c r="C9" s="11"/>
    </row>
    <row r="10" spans="2:44" ht="22.5" customHeight="1">
      <c r="B10" s="3"/>
      <c r="C10" s="12"/>
      <c r="D10" s="24"/>
      <c r="E10" s="2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2:44">
      <c r="B11" s="4" t="s">
        <v>69</v>
      </c>
      <c r="C11" s="13"/>
      <c r="D11" s="8">
        <v>32874</v>
      </c>
      <c r="E11" s="8">
        <v>33239</v>
      </c>
      <c r="F11" s="8">
        <v>33604</v>
      </c>
      <c r="G11" s="8">
        <v>33970</v>
      </c>
      <c r="H11" s="8">
        <v>34335</v>
      </c>
      <c r="I11" s="8">
        <v>34700</v>
      </c>
      <c r="J11" s="8">
        <v>35065</v>
      </c>
      <c r="K11" s="8">
        <v>35431</v>
      </c>
      <c r="L11" s="8">
        <v>35796</v>
      </c>
      <c r="M11" s="8">
        <v>36161</v>
      </c>
      <c r="N11" s="8">
        <v>36526</v>
      </c>
      <c r="O11" s="8">
        <v>36892</v>
      </c>
      <c r="P11" s="8">
        <v>37257</v>
      </c>
      <c r="Q11" s="8">
        <v>37622</v>
      </c>
      <c r="R11" s="8">
        <v>37987</v>
      </c>
      <c r="S11" s="8">
        <v>38353</v>
      </c>
      <c r="T11" s="8">
        <v>38718</v>
      </c>
      <c r="U11" s="8">
        <v>39083</v>
      </c>
      <c r="V11" s="8">
        <v>39448</v>
      </c>
      <c r="W11" s="8">
        <v>39814</v>
      </c>
      <c r="X11" s="8">
        <v>40179</v>
      </c>
      <c r="Y11" s="8">
        <v>40544</v>
      </c>
      <c r="Z11" s="8">
        <v>40909</v>
      </c>
      <c r="AA11" s="8">
        <v>41275</v>
      </c>
      <c r="AB11" s="8">
        <v>41640</v>
      </c>
      <c r="AC11" s="8">
        <v>42005</v>
      </c>
      <c r="AD11" s="8">
        <v>42370</v>
      </c>
      <c r="AE11" s="8">
        <v>42736</v>
      </c>
      <c r="AF11" s="8">
        <v>43101</v>
      </c>
      <c r="AG11" s="8">
        <v>43466</v>
      </c>
      <c r="AH11" s="8">
        <v>43831</v>
      </c>
      <c r="AI11" s="8">
        <v>44197</v>
      </c>
      <c r="AJ11" s="8">
        <v>44562</v>
      </c>
      <c r="AK11" s="8">
        <v>44927</v>
      </c>
      <c r="AL11" s="8">
        <v>45292</v>
      </c>
      <c r="AM11" s="8">
        <v>45658</v>
      </c>
      <c r="AN11" s="8">
        <v>46023</v>
      </c>
      <c r="AO11" s="8">
        <v>46388</v>
      </c>
      <c r="AP11" s="8">
        <v>46753</v>
      </c>
      <c r="AQ11" s="8">
        <v>47119</v>
      </c>
      <c r="AR11" s="8">
        <v>47484</v>
      </c>
    </row>
    <row r="12" spans="2:44" ht="37.5" customHeight="1">
      <c r="B12" s="117" t="str">
        <f>THG!B22</f>
        <v>CRF 1.A.4.a - Gewerbe, Handel, Dienstleistung (ohne Militär und Landwirtschaft)</v>
      </c>
      <c r="C12" s="14" t="s">
        <v>63</v>
      </c>
      <c r="D12" s="100">
        <f>(THG!D22)/1000</f>
        <v>65.793268103336203</v>
      </c>
      <c r="E12" s="100">
        <f>(THG!E22)/1000</f>
        <v>65.896050622922772</v>
      </c>
      <c r="F12" s="100">
        <f>(THG!F22)/1000</f>
        <v>58.453932473158275</v>
      </c>
      <c r="G12" s="100">
        <f>(THG!G22)/1000</f>
        <v>56.059136302240077</v>
      </c>
      <c r="H12" s="100">
        <f>(THG!H22)/1000</f>
        <v>51.404457083265974</v>
      </c>
      <c r="I12" s="100">
        <f>(THG!I22)/1000</f>
        <v>53.329455076414796</v>
      </c>
      <c r="J12" s="100">
        <f>(THG!J22)/1000</f>
        <v>64.035682728766616</v>
      </c>
      <c r="K12" s="100">
        <f>(THG!K22)/1000</f>
        <v>54.98354231392365</v>
      </c>
      <c r="L12" s="100">
        <f>(THG!L22)/1000</f>
        <v>53.303023247160411</v>
      </c>
      <c r="M12" s="100">
        <f>(THG!M22)/1000</f>
        <v>49.2138238743428</v>
      </c>
      <c r="N12" s="100">
        <f>(THG!N22)/1000</f>
        <v>45.495296385219973</v>
      </c>
      <c r="O12" s="100">
        <f>(THG!O22)/1000</f>
        <v>52.720320898754679</v>
      </c>
      <c r="P12" s="100">
        <f>(THG!P22)/1000</f>
        <v>49.789211680061292</v>
      </c>
      <c r="Q12" s="100">
        <f>(THG!Q22)/1000</f>
        <v>36.756098037733771</v>
      </c>
      <c r="R12" s="100">
        <f>(THG!R22)/1000</f>
        <v>36.977851299509751</v>
      </c>
      <c r="S12" s="100">
        <f>(THG!S22)/1000</f>
        <v>43.69465536893599</v>
      </c>
      <c r="T12" s="100">
        <f>(THG!T22)/1000</f>
        <v>48.193633501294336</v>
      </c>
      <c r="U12" s="100">
        <f>(THG!U22)/1000</f>
        <v>33.427606570044205</v>
      </c>
      <c r="V12" s="100">
        <f>(THG!V22)/1000</f>
        <v>38.920734644940332</v>
      </c>
      <c r="W12" s="100">
        <f>(THG!W22)/1000</f>
        <v>36.591676773651869</v>
      </c>
      <c r="X12" s="100">
        <f>(THG!X22)/1000</f>
        <v>35.523762170499332</v>
      </c>
      <c r="Y12" s="100">
        <f>(THG!Y22)/1000</f>
        <v>34.784117215165992</v>
      </c>
      <c r="Z12" s="100">
        <f>(THG!Z22)/1000</f>
        <v>33.851967229766032</v>
      </c>
      <c r="AA12" s="100">
        <f>(THG!AA22)/1000</f>
        <v>37.263557675723149</v>
      </c>
      <c r="AB12" s="100">
        <f>(THG!AB22)/1000</f>
        <v>34.899594112546147</v>
      </c>
      <c r="AC12" s="100">
        <f>(THG!AC22)/1000</f>
        <v>36.289572689202295</v>
      </c>
      <c r="AD12" s="100">
        <f>(THG!AD22)/1000</f>
        <v>28.555605650419345</v>
      </c>
      <c r="AE12" s="100">
        <f>(THG!AE22)/1000</f>
        <v>29.809021067157591</v>
      </c>
      <c r="AF12" s="100">
        <f>(THG!AF22)/1000</f>
        <v>25.573260333806783</v>
      </c>
      <c r="AG12" s="100">
        <f>(THG!AG22)/1000</f>
        <v>25.950624243282459</v>
      </c>
      <c r="AH12" s="171">
        <f>(THG!AH22)/1000</f>
        <v>25.036799859341844</v>
      </c>
      <c r="AI12" s="171">
        <f>(THG!AI22)/1000</f>
        <v>25.824313883436151</v>
      </c>
      <c r="AJ12" s="171">
        <f>(THG!AJ22)/1000</f>
        <v>24.481468397346813</v>
      </c>
      <c r="AK12" s="171">
        <f>(THG!AK22)/1000</f>
        <v>23.079984994194938</v>
      </c>
      <c r="AL12" s="171">
        <f>(THG!AL22)/1000</f>
        <v>21.487447470343234</v>
      </c>
      <c r="AM12" s="29"/>
      <c r="AN12" s="29"/>
      <c r="AO12" s="29"/>
      <c r="AP12" s="29"/>
      <c r="AQ12" s="29"/>
      <c r="AR12" s="29"/>
    </row>
    <row r="13" spans="2:44" ht="18.75" customHeight="1">
      <c r="B13" s="118" t="str">
        <f>THG!B23</f>
        <v>CRF 1.A.4.b - Haushalte</v>
      </c>
      <c r="C13" s="89" t="s">
        <v>63</v>
      </c>
      <c r="D13" s="101">
        <f>(THG!D23)/1000</f>
        <v>132.10231654405305</v>
      </c>
      <c r="E13" s="101">
        <f>(THG!E23)/1000</f>
        <v>133.88461210321404</v>
      </c>
      <c r="F13" s="101">
        <f>(THG!F23)/1000</f>
        <v>125.25854631404503</v>
      </c>
      <c r="G13" s="101">
        <f>(THG!G23)/1000</f>
        <v>135.69524086689398</v>
      </c>
      <c r="H13" s="101">
        <f>(THG!H23)/1000</f>
        <v>129.98930587587586</v>
      </c>
      <c r="I13" s="101">
        <f>(THG!I23)/1000</f>
        <v>130.35935315313705</v>
      </c>
      <c r="J13" s="101">
        <f>(THG!J23)/1000</f>
        <v>143.70301073585867</v>
      </c>
      <c r="K13" s="101">
        <f>(THG!K23)/1000</f>
        <v>139.63244011761878</v>
      </c>
      <c r="L13" s="101">
        <f>(THG!L23)/1000</f>
        <v>133.15925587786126</v>
      </c>
      <c r="M13" s="101">
        <f>(THG!M23)/1000</f>
        <v>121.0155512672429</v>
      </c>
      <c r="N13" s="101">
        <f>(THG!N23)/1000</f>
        <v>118.9626956639363</v>
      </c>
      <c r="O13" s="101">
        <f>(THG!O23)/1000</f>
        <v>132.44870042547237</v>
      </c>
      <c r="P13" s="101">
        <f>(THG!P23)/1000</f>
        <v>122.34468322712274</v>
      </c>
      <c r="Q13" s="101">
        <f>(THG!Q23)/1000</f>
        <v>122.62307565425768</v>
      </c>
      <c r="R13" s="101">
        <f>(THG!R23)/1000</f>
        <v>114.50897688060236</v>
      </c>
      <c r="S13" s="101">
        <f>(THG!S23)/1000</f>
        <v>111.86845130514604</v>
      </c>
      <c r="T13" s="101">
        <f>(THG!T23)/1000</f>
        <v>113.94344735122634</v>
      </c>
      <c r="U13" s="101">
        <f>(THG!U23)/1000</f>
        <v>87.29391824180793</v>
      </c>
      <c r="V13" s="101">
        <f>(THG!V23)/1000</f>
        <v>106.97028026007666</v>
      </c>
      <c r="W13" s="101">
        <f>(THG!W23)/1000</f>
        <v>99.196611084601372</v>
      </c>
      <c r="X13" s="101">
        <f>(THG!X23)/1000</f>
        <v>106.06610325922533</v>
      </c>
      <c r="Y13" s="101">
        <f>(THG!Y23)/1000</f>
        <v>88.630771246410205</v>
      </c>
      <c r="Z13" s="101">
        <f>(THG!Z23)/1000</f>
        <v>95.485612952221274</v>
      </c>
      <c r="AA13" s="101">
        <f>(THG!AA23)/1000</f>
        <v>100.77517726824436</v>
      </c>
      <c r="AB13" s="101">
        <f>(THG!AB23)/1000</f>
        <v>84.386809284636897</v>
      </c>
      <c r="AC13" s="101">
        <f>(THG!AC23)/1000</f>
        <v>88.955049519459237</v>
      </c>
      <c r="AD13" s="101">
        <f>(THG!AD23)/1000</f>
        <v>91.916988200511497</v>
      </c>
      <c r="AE13" s="101">
        <f>(THG!AE23)/1000</f>
        <v>90.46998548923186</v>
      </c>
      <c r="AF13" s="101">
        <f>(THG!AF23)/1000</f>
        <v>89.777110641248257</v>
      </c>
      <c r="AG13" s="101">
        <f>(THG!AG23)/1000</f>
        <v>95.423620913983697</v>
      </c>
      <c r="AH13" s="172">
        <f>(THG!AH23)/1000</f>
        <v>96.671738800520188</v>
      </c>
      <c r="AI13" s="172">
        <f>(THG!AI23)/1000</f>
        <v>92.480305454517605</v>
      </c>
      <c r="AJ13" s="172">
        <f>(THG!AJ23)/1000</f>
        <v>85.170035417932567</v>
      </c>
      <c r="AK13" s="172">
        <f>(THG!AK23)/1000</f>
        <v>79.025341758476969</v>
      </c>
      <c r="AL13" s="172">
        <f>(THG!AL23)/1000</f>
        <v>78.189924621187288</v>
      </c>
      <c r="AM13" s="91"/>
      <c r="AN13" s="91"/>
      <c r="AO13" s="91"/>
      <c r="AP13" s="91"/>
      <c r="AQ13" s="91"/>
      <c r="AR13" s="91"/>
    </row>
    <row r="14" spans="2:44" ht="18.75" customHeight="1">
      <c r="B14" s="119" t="str">
        <f>THG!B24</f>
        <v>CRF 1.A.5 - Militär</v>
      </c>
      <c r="C14" s="102" t="s">
        <v>63</v>
      </c>
      <c r="D14" s="100">
        <f>(THG!D24)/1000</f>
        <v>12.131732262238941</v>
      </c>
      <c r="E14" s="100">
        <f>(THG!E24)/1000</f>
        <v>8.6516322720458358</v>
      </c>
      <c r="F14" s="100">
        <f>(THG!F24)/1000</f>
        <v>6.5649956999848467</v>
      </c>
      <c r="G14" s="100">
        <f>(THG!G24)/1000</f>
        <v>5.2519541192322432</v>
      </c>
      <c r="H14" s="100">
        <f>(THG!H24)/1000</f>
        <v>4.8312154966073306</v>
      </c>
      <c r="I14" s="100">
        <f>(THG!I24)/1000</f>
        <v>4.0226056526425298</v>
      </c>
      <c r="J14" s="100">
        <f>(THG!J24)/1000</f>
        <v>3.1462707994462642</v>
      </c>
      <c r="K14" s="100">
        <f>(THG!K24)/1000</f>
        <v>3.0385586092281969</v>
      </c>
      <c r="L14" s="100">
        <f>(THG!L24)/1000</f>
        <v>3.048676387284734</v>
      </c>
      <c r="M14" s="100">
        <f>(THG!M24)/1000</f>
        <v>2.6021864127028373</v>
      </c>
      <c r="N14" s="100">
        <f>(THG!N24)/1000</f>
        <v>2.3315587378060436</v>
      </c>
      <c r="O14" s="100">
        <f>(THG!O24)/1000</f>
        <v>1.9105080271554025</v>
      </c>
      <c r="P14" s="100">
        <f>(THG!P24)/1000</f>
        <v>1.9470053198555155</v>
      </c>
      <c r="Q14" s="100">
        <f>(THG!Q24)/1000</f>
        <v>2.0243447322246864</v>
      </c>
      <c r="R14" s="100">
        <f>(THG!R24)/1000</f>
        <v>1.7371280229168296</v>
      </c>
      <c r="S14" s="100">
        <f>(THG!S24)/1000</f>
        <v>1.7677709548722418</v>
      </c>
      <c r="T14" s="100">
        <f>(THG!T24)/1000</f>
        <v>1.6111671106769121</v>
      </c>
      <c r="U14" s="100">
        <f>(THG!U24)/1000</f>
        <v>1.3357067285899216</v>
      </c>
      <c r="V14" s="100">
        <f>(THG!V24)/1000</f>
        <v>1.360675844569329</v>
      </c>
      <c r="W14" s="100">
        <f>(THG!W24)/1000</f>
        <v>1.3860022715787574</v>
      </c>
      <c r="X14" s="100">
        <f>(THG!X24)/1000</f>
        <v>1.3435520982486817</v>
      </c>
      <c r="Y14" s="100">
        <f>(THG!Y24)/1000</f>
        <v>1.2425269550959326</v>
      </c>
      <c r="Z14" s="100">
        <f>(THG!Z24)/1000</f>
        <v>1.0314660412281831</v>
      </c>
      <c r="AA14" s="100">
        <f>(THG!AA24)/1000</f>
        <v>1.0707754367032509</v>
      </c>
      <c r="AB14" s="100">
        <f>(THG!AB24)/1000</f>
        <v>1.0025249015946058</v>
      </c>
      <c r="AC14" s="100">
        <f>(THG!AC24)/1000</f>
        <v>0.99468425286300377</v>
      </c>
      <c r="AD14" s="100">
        <f>(THG!AD24)/1000</f>
        <v>1.0320916501325907</v>
      </c>
      <c r="AE14" s="100">
        <f>(THG!AE24)/1000</f>
        <v>0.85095497845823365</v>
      </c>
      <c r="AF14" s="100">
        <f>(THG!AF24)/1000</f>
        <v>0.75913185573358166</v>
      </c>
      <c r="AG14" s="100">
        <f>(THG!AG24)/1000</f>
        <v>0.92188102063235311</v>
      </c>
      <c r="AH14" s="171">
        <f>(THG!AH24)/1000</f>
        <v>0.78857492735897139</v>
      </c>
      <c r="AI14" s="171">
        <f>(THG!AI24)/1000</f>
        <v>0.98216288122270212</v>
      </c>
      <c r="AJ14" s="171">
        <f>(THG!AJ24)/1000</f>
        <v>0.86313046987019948</v>
      </c>
      <c r="AK14" s="171">
        <f>(THG!AK24)/1000</f>
        <v>0.82767344603265092</v>
      </c>
      <c r="AL14" s="171">
        <f>(THG!AL24)/1000</f>
        <v>0.85886193324708116</v>
      </c>
      <c r="AM14" s="29"/>
      <c r="AN14" s="29"/>
      <c r="AO14" s="29"/>
      <c r="AP14" s="29"/>
      <c r="AQ14" s="29"/>
      <c r="AR14" s="29"/>
    </row>
    <row r="15" spans="2:44" ht="18.75" customHeight="1">
      <c r="B15" s="5" t="str">
        <f>THG!B21</f>
        <v>3 - Gebäude</v>
      </c>
      <c r="C15" s="20" t="s">
        <v>63</v>
      </c>
      <c r="D15" s="21">
        <f>(THG!D21)/1000</f>
        <v>210.02731690962818</v>
      </c>
      <c r="E15" s="21">
        <f>(THG!E21)/1000</f>
        <v>208.43229499818264</v>
      </c>
      <c r="F15" s="21">
        <f>(THG!F21)/1000</f>
        <v>190.27747448718816</v>
      </c>
      <c r="G15" s="21">
        <f>(THG!G21)/1000</f>
        <v>197.00633128836631</v>
      </c>
      <c r="H15" s="21">
        <f>(THG!H21)/1000</f>
        <v>186.22497845574915</v>
      </c>
      <c r="I15" s="21">
        <f>(THG!I21)/1000</f>
        <v>187.71141388219434</v>
      </c>
      <c r="J15" s="21">
        <f>(THG!J21)/1000</f>
        <v>210.88496426407156</v>
      </c>
      <c r="K15" s="21">
        <f>(THG!K21)/1000</f>
        <v>197.65454104077065</v>
      </c>
      <c r="L15" s="21">
        <f>(THG!L21)/1000</f>
        <v>189.5109555123064</v>
      </c>
      <c r="M15" s="21">
        <f>(THG!M21)/1000</f>
        <v>172.83156155428856</v>
      </c>
      <c r="N15" s="21">
        <f>(THG!N21)/1000</f>
        <v>166.78955078696234</v>
      </c>
      <c r="O15" s="21">
        <f>(THG!O21)/1000</f>
        <v>187.07952935138243</v>
      </c>
      <c r="P15" s="21">
        <f>(THG!P21)/1000</f>
        <v>174.08090022703956</v>
      </c>
      <c r="Q15" s="21">
        <f>(THG!Q21)/1000</f>
        <v>161.40351842421612</v>
      </c>
      <c r="R15" s="21">
        <f>(THG!R21)/1000</f>
        <v>153.22395620302893</v>
      </c>
      <c r="S15" s="21">
        <f>(THG!S21)/1000</f>
        <v>157.33087762895428</v>
      </c>
      <c r="T15" s="21">
        <f>(THG!T21)/1000</f>
        <v>163.7482479631976</v>
      </c>
      <c r="U15" s="21">
        <f>(THG!U21)/1000</f>
        <v>122.05723154044206</v>
      </c>
      <c r="V15" s="21">
        <f>(THG!V21)/1000</f>
        <v>147.25169074958632</v>
      </c>
      <c r="W15" s="21">
        <f>(THG!W21)/1000</f>
        <v>137.174290129832</v>
      </c>
      <c r="X15" s="21">
        <f>(THG!X21)/1000</f>
        <v>142.93341752797332</v>
      </c>
      <c r="Y15" s="21">
        <f>(THG!Y21)/1000</f>
        <v>124.65741541667212</v>
      </c>
      <c r="Z15" s="21">
        <f>(THG!Z21)/1000</f>
        <v>130.36904622321549</v>
      </c>
      <c r="AA15" s="21">
        <f>(THG!AA21)/1000</f>
        <v>139.10951038067077</v>
      </c>
      <c r="AB15" s="21">
        <f>(THG!AB21)/1000</f>
        <v>120.28892829877765</v>
      </c>
      <c r="AC15" s="21">
        <f>(THG!AC21)/1000</f>
        <v>126.23930646152454</v>
      </c>
      <c r="AD15" s="21">
        <f>(THG!AD21)/1000</f>
        <v>121.50468550106342</v>
      </c>
      <c r="AE15" s="21">
        <f>(THG!AE21)/1000</f>
        <v>121.12996153484768</v>
      </c>
      <c r="AF15" s="21">
        <f>(THG!AF21)/1000</f>
        <v>116.10950283078863</v>
      </c>
      <c r="AG15" s="21">
        <f>(THG!AG21)/1000</f>
        <v>122.2961261778985</v>
      </c>
      <c r="AH15" s="164">
        <f>(THG!AH21)/1000</f>
        <v>122.49711358722101</v>
      </c>
      <c r="AI15" s="164">
        <f>(THG!AI21)/1000</f>
        <v>119.28678221917644</v>
      </c>
      <c r="AJ15" s="164">
        <f>(THG!AJ21)/1000</f>
        <v>110.51463428514957</v>
      </c>
      <c r="AK15" s="164">
        <f>(THG!AK21)/1000</f>
        <v>102.93300019870455</v>
      </c>
      <c r="AL15" s="164">
        <f>(THG!AL21)/1000</f>
        <v>100.5362340247776</v>
      </c>
      <c r="AM15" s="27"/>
      <c r="AN15" s="27"/>
      <c r="AO15" s="27"/>
      <c r="AP15" s="27"/>
      <c r="AQ15" s="27"/>
      <c r="AR15" s="27"/>
    </row>
    <row r="16" spans="2:44" ht="18.75" customHeight="1">
      <c r="B16" s="90" t="s">
        <v>120</v>
      </c>
      <c r="C16" s="89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101">
        <f ca="1">'THG kurz'!AA37/1000</f>
        <v>0.58524799999999988</v>
      </c>
      <c r="AB16" s="101">
        <f ca="1">'THG kurz'!AB37/1000</f>
        <v>0.516181</v>
      </c>
      <c r="AC16" s="101">
        <f ca="1">'THG kurz'!AC37/1000</f>
        <v>0.53094799999999998</v>
      </c>
      <c r="AD16" s="101">
        <f ca="1">'THG kurz'!AD37/1000</f>
        <v>0.54442800000000002</v>
      </c>
      <c r="AE16" s="101">
        <f ca="1">'THG kurz'!AE37/1000</f>
        <v>0.55857999999999997</v>
      </c>
      <c r="AF16" s="101">
        <f ca="1">'THG kurz'!AF37/1000</f>
        <v>0.52882099999999987</v>
      </c>
      <c r="AG16" s="101">
        <f ca="1">'THG kurz'!AG37/1000</f>
        <v>0.54612099999999997</v>
      </c>
      <c r="AH16" s="172">
        <f ca="1">'THG kurz'!AH37/1000</f>
        <v>0.51831381999999993</v>
      </c>
      <c r="AI16" s="172">
        <f ca="1">'THG kurz'!AI37/1000</f>
        <v>0.58025822400000004</v>
      </c>
      <c r="AJ16" s="172">
        <f ca="1">'THG kurz'!AJ37/1000</f>
        <v>0.54047900000000004</v>
      </c>
      <c r="AK16" s="172">
        <f ca="1">'THG kurz'!AK37/1000</f>
        <v>0.50667419190783103</v>
      </c>
      <c r="AL16" s="172"/>
      <c r="AM16" s="91"/>
      <c r="AN16" s="91"/>
      <c r="AO16" s="91"/>
      <c r="AP16" s="91"/>
      <c r="AQ16" s="91"/>
      <c r="AR16" s="91"/>
    </row>
    <row r="17" spans="2:44" ht="18.75" customHeight="1">
      <c r="B17" s="35" t="s">
        <v>10</v>
      </c>
      <c r="C17" s="36" t="str">
        <f>'Daten Zielpfadgrafik'!C25</f>
        <v>aktueller Zielpfad**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1">
        <f>'Daten Zielpfadgrafik'!AH25</f>
        <v>118</v>
      </c>
      <c r="AI17" s="21">
        <f>'Daten Zielpfadgrafik'!AI25</f>
        <v>113</v>
      </c>
      <c r="AJ17" s="21">
        <f>'Daten Zielpfadgrafik'!AJ25</f>
        <v>107.44154968536468</v>
      </c>
      <c r="AK17" s="21">
        <f>'Daten Zielpfadgrafik'!AK25</f>
        <v>101.05379676576811</v>
      </c>
      <c r="AL17" s="21">
        <f>'Daten Zielpfadgrafik'!AL25</f>
        <v>95.785339132491472</v>
      </c>
      <c r="AM17" s="21">
        <f>'Daten Zielpfadgrafik'!AM25</f>
        <v>89.993523317110458</v>
      </c>
      <c r="AN17" s="21">
        <f>'Daten Zielpfadgrafik'!AN25</f>
        <v>84.993523317110458</v>
      </c>
      <c r="AO17" s="21">
        <f>'Daten Zielpfadgrafik'!AO25</f>
        <v>79.993523317110458</v>
      </c>
      <c r="AP17" s="21">
        <f>'Daten Zielpfadgrafik'!AP25</f>
        <v>74.993523317110458</v>
      </c>
      <c r="AQ17" s="21">
        <f>'Daten Zielpfadgrafik'!AQ25</f>
        <v>69.993523317110458</v>
      </c>
      <c r="AR17" s="21">
        <f>'Daten Zielpfadgrafik'!AR25</f>
        <v>64.993523317110458</v>
      </c>
    </row>
    <row r="18" spans="2:44" ht="14.25" customHeight="1">
      <c r="B18" s="7"/>
      <c r="C18" s="16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81603-5256-45B9-9068-5F45971D23FD}">
  <sheetPr>
    <tabColor theme="6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1" customWidth="1"/>
    <col min="2" max="2" width="4.28515625" style="41" customWidth="1"/>
    <col min="3" max="3" width="1.7109375" style="41" customWidth="1"/>
    <col min="4" max="4" width="14" style="41" customWidth="1"/>
    <col min="5" max="5" width="1.7109375" style="41" customWidth="1"/>
    <col min="6" max="6" width="14" style="41" customWidth="1"/>
    <col min="7" max="7" width="1.7109375" style="41" customWidth="1"/>
    <col min="8" max="8" width="14" style="41" customWidth="1"/>
    <col min="9" max="9" width="1.7109375" style="41" customWidth="1"/>
    <col min="10" max="10" width="14" style="41" customWidth="1"/>
    <col min="11" max="11" width="1.7109375" style="41" customWidth="1"/>
    <col min="12" max="12" width="14" style="41" customWidth="1"/>
    <col min="13" max="13" width="3.140625" style="41" customWidth="1"/>
    <col min="14" max="14" width="1.42578125" style="41" customWidth="1"/>
    <col min="15" max="15" width="15.140625" style="41" customWidth="1"/>
    <col min="16" max="16" width="2.5703125" style="42" customWidth="1"/>
    <col min="17" max="19" width="11.7109375" style="42" customWidth="1"/>
    <col min="20" max="20" width="4" style="42" customWidth="1"/>
    <col min="21" max="22" width="11.7109375" style="42" customWidth="1"/>
    <col min="23" max="23" width="19.140625" style="42" customWidth="1"/>
    <col min="24" max="24" width="2.5703125" style="42" customWidth="1"/>
    <col min="25" max="16384" width="11.42578125" style="42"/>
  </cols>
  <sheetData>
    <row r="1" spans="1:24" ht="20.25" customHeight="1">
      <c r="A1" s="40"/>
    </row>
    <row r="2" spans="1:24" ht="20.2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P2" s="225" t="s">
        <v>62</v>
      </c>
      <c r="Q2" s="226"/>
      <c r="R2" s="226"/>
      <c r="S2" s="226"/>
      <c r="T2" s="226"/>
      <c r="U2" s="226"/>
      <c r="V2" s="226"/>
      <c r="W2" s="226"/>
      <c r="X2" s="227"/>
    </row>
    <row r="3" spans="1:24" ht="18.7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P3" s="45"/>
      <c r="Q3" s="46"/>
      <c r="R3" s="47"/>
      <c r="S3" s="46"/>
      <c r="T3" s="46"/>
      <c r="U3" s="47"/>
      <c r="V3" s="46"/>
      <c r="W3" s="46"/>
      <c r="X3" s="48"/>
    </row>
    <row r="4" spans="1:24" ht="15.9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P4" s="45"/>
      <c r="Q4" s="46"/>
      <c r="R4" s="46"/>
      <c r="S4" s="46"/>
      <c r="T4" s="46"/>
      <c r="U4" s="46"/>
      <c r="V4" s="46"/>
      <c r="W4" s="46"/>
      <c r="X4" s="48"/>
    </row>
    <row r="5" spans="1:24" ht="7.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P5" s="50"/>
      <c r="Q5" s="51"/>
      <c r="R5" s="51"/>
      <c r="S5" s="51"/>
      <c r="T5" s="51"/>
      <c r="U5" s="51"/>
      <c r="V5" s="51"/>
      <c r="W5" s="51"/>
      <c r="X5" s="52"/>
    </row>
    <row r="6" spans="1:24" ht="16.5" customHeight="1">
      <c r="B6" s="53"/>
      <c r="P6" s="50"/>
      <c r="Q6" s="51"/>
      <c r="R6" s="51"/>
      <c r="S6" s="51"/>
      <c r="T6" s="51"/>
      <c r="U6" s="51"/>
      <c r="V6" s="51"/>
      <c r="W6" s="51"/>
      <c r="X6" s="52"/>
    </row>
    <row r="7" spans="1:24" ht="16.5" customHeight="1">
      <c r="B7" s="53"/>
      <c r="P7" s="50"/>
      <c r="Q7" s="51"/>
      <c r="R7" s="51"/>
      <c r="S7" s="51"/>
      <c r="T7" s="51"/>
      <c r="U7" s="51"/>
      <c r="V7" s="51"/>
      <c r="W7" s="51"/>
      <c r="X7" s="52"/>
    </row>
    <row r="8" spans="1:24" ht="16.5" customHeight="1">
      <c r="B8" s="53"/>
      <c r="P8" s="50"/>
      <c r="Q8" s="51"/>
      <c r="R8" s="51"/>
      <c r="S8" s="51"/>
      <c r="T8" s="51"/>
      <c r="U8" s="51"/>
      <c r="V8" s="51"/>
      <c r="W8" s="51"/>
      <c r="X8" s="52"/>
    </row>
    <row r="9" spans="1:24" ht="16.5" customHeight="1">
      <c r="B9" s="53"/>
      <c r="P9" s="50"/>
      <c r="Q9" s="51"/>
      <c r="R9" s="51"/>
      <c r="S9" s="51"/>
      <c r="T9" s="51"/>
      <c r="U9" s="51"/>
      <c r="V9" s="51"/>
      <c r="W9" s="51"/>
      <c r="X9" s="52"/>
    </row>
    <row r="10" spans="1:24" ht="16.5" customHeight="1">
      <c r="B10" s="53"/>
      <c r="P10" s="50"/>
      <c r="Q10" s="51"/>
      <c r="R10" s="51"/>
      <c r="S10" s="51"/>
      <c r="T10" s="51"/>
      <c r="U10" s="51"/>
      <c r="V10" s="51"/>
      <c r="W10" s="51"/>
      <c r="X10" s="52"/>
    </row>
    <row r="11" spans="1:24" ht="16.5" customHeight="1">
      <c r="B11" s="53"/>
      <c r="P11" s="50"/>
      <c r="Q11" s="54" t="s">
        <v>61</v>
      </c>
      <c r="R11" s="51"/>
      <c r="S11" s="51"/>
      <c r="T11" s="51"/>
      <c r="U11" s="51"/>
      <c r="V11" s="51"/>
      <c r="W11" s="51"/>
      <c r="X11" s="52"/>
    </row>
    <row r="12" spans="1:24" ht="16.5" customHeight="1">
      <c r="B12" s="53"/>
      <c r="P12" s="50"/>
      <c r="Q12" s="51"/>
      <c r="R12" s="51"/>
      <c r="S12" s="51"/>
      <c r="T12" s="51"/>
      <c r="U12" s="51"/>
      <c r="V12" s="51"/>
      <c r="W12" s="51"/>
      <c r="X12" s="52"/>
    </row>
    <row r="13" spans="1:24" ht="17.25" customHeight="1">
      <c r="B13" s="53"/>
      <c r="P13" s="50"/>
      <c r="Q13" s="54" t="s">
        <v>60</v>
      </c>
      <c r="R13" s="51"/>
      <c r="S13" s="51"/>
      <c r="T13" s="51"/>
      <c r="U13" s="51"/>
      <c r="V13" s="51"/>
      <c r="W13" s="51"/>
      <c r="X13" s="52"/>
    </row>
    <row r="14" spans="1:24" ht="16.5" customHeight="1">
      <c r="B14" s="53"/>
      <c r="P14" s="50"/>
      <c r="Q14" s="51"/>
      <c r="R14" s="51"/>
      <c r="S14" s="51"/>
      <c r="T14" s="51"/>
      <c r="U14" s="51"/>
      <c r="V14" s="51"/>
      <c r="W14" s="51"/>
      <c r="X14" s="52"/>
    </row>
    <row r="15" spans="1:24" ht="16.5" customHeight="1">
      <c r="A15" s="55"/>
      <c r="B15" s="5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0"/>
      <c r="Q15" s="51"/>
      <c r="R15" s="54" t="s">
        <v>59</v>
      </c>
      <c r="S15" s="51"/>
      <c r="T15" s="51"/>
      <c r="U15" s="54" t="s">
        <v>59</v>
      </c>
      <c r="V15" s="51"/>
      <c r="W15" s="51"/>
      <c r="X15" s="52"/>
    </row>
    <row r="16" spans="1:24" ht="16.5" customHeight="1">
      <c r="A16" s="55"/>
      <c r="B16" s="56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0"/>
      <c r="Q16" s="51"/>
      <c r="R16" s="51"/>
      <c r="S16" s="51"/>
      <c r="T16" s="51"/>
      <c r="U16" s="51"/>
      <c r="V16" s="51"/>
      <c r="W16" s="51"/>
      <c r="X16" s="52"/>
    </row>
    <row r="17" spans="1:24" ht="16.5" customHeight="1">
      <c r="A17" s="55"/>
      <c r="B17" s="56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0"/>
      <c r="Q17" s="51"/>
      <c r="R17" s="51"/>
      <c r="S17" s="51"/>
      <c r="T17" s="51"/>
      <c r="U17" s="51"/>
      <c r="V17" s="51"/>
      <c r="W17" s="51"/>
      <c r="X17" s="52"/>
    </row>
    <row r="18" spans="1:24" ht="22.5" customHeight="1">
      <c r="A18" s="55"/>
      <c r="B18" s="56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0"/>
      <c r="Q18" s="51"/>
      <c r="R18" s="51"/>
      <c r="S18" s="51"/>
      <c r="T18" s="51"/>
      <c r="U18" s="51"/>
      <c r="V18" s="51"/>
      <c r="W18" s="51"/>
      <c r="X18" s="52"/>
    </row>
    <row r="19" spans="1:24" ht="87" customHeight="1">
      <c r="A19" s="57"/>
      <c r="B19" s="58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5"/>
      <c r="O19" s="55"/>
      <c r="P19" s="59"/>
      <c r="Q19" s="60"/>
      <c r="R19" s="60"/>
      <c r="S19" s="60"/>
      <c r="T19" s="60"/>
      <c r="U19" s="60"/>
      <c r="V19" s="60"/>
      <c r="W19" s="60"/>
      <c r="X19" s="61"/>
    </row>
    <row r="20" spans="1:24" ht="9" customHeight="1">
      <c r="A20" s="57"/>
      <c r="B20" s="58"/>
      <c r="C20" s="57"/>
      <c r="D20" s="224"/>
      <c r="E20" s="57"/>
      <c r="F20" s="224"/>
      <c r="G20" s="57"/>
      <c r="H20" s="224"/>
      <c r="I20" s="57"/>
      <c r="J20" s="224"/>
      <c r="K20" s="57"/>
      <c r="L20" s="224"/>
      <c r="M20" s="57"/>
      <c r="N20" s="55"/>
      <c r="O20" s="55"/>
    </row>
    <row r="21" spans="1:24" ht="11.25" customHeight="1">
      <c r="A21" s="57"/>
      <c r="B21" s="58"/>
      <c r="C21" s="57"/>
      <c r="D21" s="224"/>
      <c r="E21" s="57"/>
      <c r="F21" s="224"/>
      <c r="G21" s="57"/>
      <c r="H21" s="224"/>
      <c r="I21" s="57"/>
      <c r="J21" s="224"/>
      <c r="K21" s="57"/>
      <c r="L21" s="224"/>
      <c r="M21" s="57"/>
      <c r="N21" s="55"/>
      <c r="O21" s="55"/>
    </row>
    <row r="22" spans="1:24" ht="3.75" customHeight="1">
      <c r="A22" s="57"/>
      <c r="B22" s="58"/>
      <c r="C22" s="57"/>
      <c r="D22" s="93"/>
      <c r="E22" s="57"/>
      <c r="F22" s="93"/>
      <c r="G22" s="57"/>
      <c r="H22" s="93"/>
      <c r="I22" s="57"/>
      <c r="J22" s="93"/>
      <c r="K22" s="57"/>
      <c r="L22" s="93"/>
      <c r="M22" s="57"/>
      <c r="N22" s="55"/>
      <c r="O22" s="55"/>
    </row>
    <row r="23" spans="1:24" ht="9" customHeight="1">
      <c r="A23" s="57"/>
      <c r="B23" s="58"/>
      <c r="C23" s="57"/>
      <c r="D23" s="224"/>
      <c r="E23" s="57"/>
      <c r="F23" s="224"/>
      <c r="G23" s="57"/>
      <c r="H23" s="224"/>
      <c r="I23" s="57"/>
      <c r="J23" s="224"/>
      <c r="K23" s="57"/>
      <c r="L23" s="224"/>
      <c r="M23" s="57"/>
      <c r="N23" s="55"/>
      <c r="O23" s="55"/>
    </row>
    <row r="24" spans="1:24" ht="9" customHeight="1">
      <c r="A24" s="57"/>
      <c r="B24" s="58"/>
      <c r="C24" s="57"/>
      <c r="D24" s="224"/>
      <c r="E24" s="57"/>
      <c r="F24" s="224"/>
      <c r="G24" s="57"/>
      <c r="H24" s="224"/>
      <c r="I24" s="57"/>
      <c r="J24" s="224"/>
      <c r="K24" s="57"/>
      <c r="L24" s="224"/>
      <c r="M24" s="57"/>
      <c r="N24" s="55"/>
      <c r="O24" s="55"/>
    </row>
    <row r="25" spans="1:24" ht="16.5" customHeight="1">
      <c r="A25" s="55"/>
      <c r="B25" s="56"/>
      <c r="C25" s="63"/>
      <c r="D25" s="63"/>
      <c r="E25" s="63"/>
      <c r="F25" s="63"/>
      <c r="G25" s="63"/>
      <c r="H25" s="63"/>
      <c r="I25" s="63"/>
      <c r="J25" s="63"/>
      <c r="K25" s="63"/>
      <c r="L25" s="55"/>
      <c r="M25" s="55"/>
      <c r="N25" s="55"/>
      <c r="O25" s="55"/>
    </row>
    <row r="26" spans="1:24" ht="21.7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</row>
    <row r="27" spans="1:24" ht="6.75" customHeight="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</row>
    <row r="28" spans="1:24" ht="6" customHeight="1">
      <c r="A28" s="64"/>
      <c r="B28" s="64"/>
      <c r="C28" s="6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</row>
    <row r="29" spans="1:24" ht="4.5" customHeight="1">
      <c r="A29" s="64"/>
      <c r="B29" s="64"/>
      <c r="C29" s="6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</row>
    <row r="30" spans="1:24" ht="6" customHeight="1">
      <c r="A30" s="64"/>
      <c r="B30" s="64"/>
      <c r="C30" s="64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</row>
    <row r="31" spans="1:24" ht="6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</row>
    <row r="32" spans="1:24" ht="4.5" customHeight="1">
      <c r="A32" s="55"/>
      <c r="B32" s="55"/>
      <c r="C32" s="55"/>
      <c r="D32" s="55"/>
      <c r="E32" s="55"/>
      <c r="F32" s="55"/>
      <c r="G32" s="66"/>
      <c r="H32" s="66"/>
      <c r="I32" s="66"/>
      <c r="J32" s="66"/>
      <c r="K32" s="66"/>
      <c r="L32" s="55"/>
      <c r="M32" s="55"/>
      <c r="N32" s="55"/>
      <c r="O32" s="55"/>
    </row>
    <row r="33" spans="1:15" ht="18" customHeight="1">
      <c r="A33" s="67"/>
      <c r="B33" s="67"/>
      <c r="C33" s="67"/>
      <c r="D33" s="67"/>
      <c r="E33" s="67"/>
      <c r="F33" s="66"/>
      <c r="G33" s="66"/>
      <c r="H33" s="66"/>
      <c r="I33" s="66"/>
      <c r="J33" s="66"/>
      <c r="K33" s="66"/>
      <c r="L33" s="55"/>
      <c r="M33" s="55"/>
      <c r="N33" s="55"/>
      <c r="O33" s="55"/>
    </row>
    <row r="34" spans="1:15">
      <c r="A34" s="67"/>
      <c r="B34" s="67"/>
      <c r="C34" s="67"/>
      <c r="D34" s="67"/>
      <c r="E34" s="67"/>
      <c r="F34" s="66"/>
      <c r="G34" s="66"/>
      <c r="H34" s="66"/>
      <c r="I34" s="66"/>
      <c r="J34" s="66"/>
      <c r="K34" s="66"/>
      <c r="L34" s="55"/>
      <c r="M34" s="55"/>
      <c r="N34" s="55"/>
      <c r="O34" s="55"/>
    </row>
    <row r="35" spans="1:15">
      <c r="A35" s="67"/>
      <c r="B35" s="67"/>
      <c r="C35" s="67"/>
      <c r="D35" s="67"/>
      <c r="E35" s="67"/>
      <c r="F35" s="66"/>
      <c r="G35" s="66"/>
      <c r="H35" s="66"/>
      <c r="I35" s="66"/>
      <c r="J35" s="66"/>
      <c r="K35" s="66"/>
      <c r="L35" s="55"/>
      <c r="M35" s="55"/>
      <c r="N35" s="55"/>
      <c r="O35" s="55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L47"/>
  <sheetViews>
    <sheetView showGridLines="0" zoomScale="70" zoomScaleNormal="70" zoomScalePageLayoutView="150" workbookViewId="0">
      <pane xSplit="3" ySplit="8" topLeftCell="D9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baseColWidth="10" defaultColWidth="11.42578125" defaultRowHeight="15" outlineLevelCol="1"/>
  <cols>
    <col min="1" max="1" width="5.42578125" style="2" customWidth="1"/>
    <col min="2" max="2" width="62.7109375" style="2" customWidth="1"/>
    <col min="3" max="3" width="16.7109375" style="17" hidden="1" customWidth="1"/>
    <col min="4" max="4" width="10.85546875" style="2" customWidth="1"/>
    <col min="5" max="8" width="10.85546875" style="2" hidden="1" customWidth="1" outlineLevel="1"/>
    <col min="9" max="9" width="10.85546875" style="2" customWidth="1" collapsed="1"/>
    <col min="10" max="13" width="10.85546875" style="2" hidden="1" customWidth="1" outlineLevel="1"/>
    <col min="14" max="14" width="10.85546875" style="2" customWidth="1" collapsed="1"/>
    <col min="15" max="18" width="10.85546875" style="2" hidden="1" customWidth="1" outlineLevel="1"/>
    <col min="19" max="19" width="10.85546875" style="2" customWidth="1" collapsed="1"/>
    <col min="20" max="23" width="10.85546875" style="2" hidden="1" customWidth="1" outlineLevel="1"/>
    <col min="24" max="24" width="10.85546875" style="2" customWidth="1" collapsed="1"/>
    <col min="25" max="28" width="10.85546875" style="2" customWidth="1" outlineLevel="1"/>
    <col min="29" max="29" width="10.85546875" style="2" customWidth="1"/>
    <col min="30" max="33" width="10.85546875" style="2" customWidth="1" outlineLevel="1"/>
    <col min="34" max="35" width="10.85546875" style="88" customWidth="1"/>
    <col min="36" max="38" width="10.85546875" style="150" customWidth="1"/>
    <col min="39" max="16384" width="11.42578125" style="2"/>
  </cols>
  <sheetData>
    <row r="2" spans="2:38" ht="14.25" customHeight="1">
      <c r="B2" s="1"/>
      <c r="C2" s="11"/>
    </row>
    <row r="3" spans="2:38" ht="22.5" customHeight="1">
      <c r="B3" s="3" t="s">
        <v>26</v>
      </c>
      <c r="C3" s="12"/>
      <c r="D3" s="24"/>
      <c r="E3" s="2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2:38">
      <c r="B4" s="4" t="s">
        <v>79</v>
      </c>
      <c r="C4" s="13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  <c r="AH4" s="8">
        <v>43831</v>
      </c>
      <c r="AI4" s="8">
        <v>44197</v>
      </c>
      <c r="AJ4" s="155">
        <v>44562</v>
      </c>
      <c r="AK4" s="155">
        <v>44927</v>
      </c>
      <c r="AL4" s="155">
        <v>45292</v>
      </c>
    </row>
    <row r="5" spans="2:38" s="10" customFormat="1" ht="18.75" customHeight="1">
      <c r="B5" s="5" t="s">
        <v>21</v>
      </c>
      <c r="C5" s="20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142"/>
      <c r="AI5" s="27"/>
      <c r="AJ5" s="166"/>
      <c r="AK5" s="166"/>
      <c r="AL5" s="166"/>
    </row>
    <row r="6" spans="2:38" s="10" customFormat="1" ht="18.75" customHeight="1">
      <c r="B6" s="25" t="s">
        <v>22</v>
      </c>
      <c r="C6" s="22" t="s">
        <v>3</v>
      </c>
      <c r="D6" s="31">
        <f>THG!D6/THG!D$6</f>
        <v>1</v>
      </c>
      <c r="E6" s="31">
        <f>THG!E6/THG!E$6</f>
        <v>1</v>
      </c>
      <c r="F6" s="31">
        <f>THG!F6/THG!F$6</f>
        <v>1</v>
      </c>
      <c r="G6" s="31">
        <f>THG!G6/THG!G$6</f>
        <v>1</v>
      </c>
      <c r="H6" s="31">
        <f>THG!H6/THG!H$6</f>
        <v>1</v>
      </c>
      <c r="I6" s="31">
        <f>THG!I6/THG!I$6</f>
        <v>1</v>
      </c>
      <c r="J6" s="31">
        <f>THG!J6/THG!J$6</f>
        <v>1</v>
      </c>
      <c r="K6" s="31">
        <f>THG!K6/THG!K$6</f>
        <v>1</v>
      </c>
      <c r="L6" s="31">
        <f>THG!L6/THG!L$6</f>
        <v>1</v>
      </c>
      <c r="M6" s="31">
        <f>THG!M6/THG!M$6</f>
        <v>1</v>
      </c>
      <c r="N6" s="31">
        <f>THG!N6/THG!N$6</f>
        <v>1</v>
      </c>
      <c r="O6" s="31">
        <f>THG!O6/THG!O$6</f>
        <v>1</v>
      </c>
      <c r="P6" s="31">
        <f>THG!P6/THG!P$6</f>
        <v>1</v>
      </c>
      <c r="Q6" s="31">
        <f>THG!Q6/THG!Q$6</f>
        <v>1</v>
      </c>
      <c r="R6" s="31">
        <f>THG!R6/THG!R$6</f>
        <v>1</v>
      </c>
      <c r="S6" s="31">
        <f>THG!S6/THG!S$6</f>
        <v>1</v>
      </c>
      <c r="T6" s="31">
        <f>THG!T6/THG!T$6</f>
        <v>1</v>
      </c>
      <c r="U6" s="31">
        <f>THG!U6/THG!U$6</f>
        <v>1</v>
      </c>
      <c r="V6" s="31">
        <f>THG!V6/THG!V$6</f>
        <v>1</v>
      </c>
      <c r="W6" s="31">
        <f>THG!W6/THG!W$6</f>
        <v>1</v>
      </c>
      <c r="X6" s="31">
        <f>THG!X6/THG!X$6</f>
        <v>1</v>
      </c>
      <c r="Y6" s="31">
        <f>THG!Y6/THG!Y$6</f>
        <v>1</v>
      </c>
      <c r="Z6" s="31">
        <f>THG!Z6/THG!Z$6</f>
        <v>1</v>
      </c>
      <c r="AA6" s="31">
        <f>THG!AA6/THG!AA$6</f>
        <v>1</v>
      </c>
      <c r="AB6" s="31">
        <f>THG!AB6/THG!AB$6</f>
        <v>1</v>
      </c>
      <c r="AC6" s="31">
        <f>THG!AC6/THG!AC$6</f>
        <v>1</v>
      </c>
      <c r="AD6" s="31">
        <f>THG!AD6/THG!AD$6</f>
        <v>1</v>
      </c>
      <c r="AE6" s="31">
        <f>THG!AE6/THG!AE$6</f>
        <v>1</v>
      </c>
      <c r="AF6" s="31">
        <f>THG!AF6/THG!AF$6</f>
        <v>1</v>
      </c>
      <c r="AG6" s="31">
        <f>THG!AG6/THG!AG$6</f>
        <v>1</v>
      </c>
      <c r="AH6" s="31">
        <f>THG!AH6/THG!AH$6</f>
        <v>1</v>
      </c>
      <c r="AI6" s="31">
        <f>THG!AI6/THG!AI$6</f>
        <v>1</v>
      </c>
      <c r="AJ6" s="31">
        <f>THG!AJ6/THG!AJ$6</f>
        <v>1</v>
      </c>
      <c r="AK6" s="31">
        <f>THG!AK6/THG!AK$6</f>
        <v>1</v>
      </c>
      <c r="AL6" s="31">
        <f>THG!AL6/THG!AL$6</f>
        <v>1</v>
      </c>
    </row>
    <row r="7" spans="2:38" s="10" customFormat="1" ht="18.75" customHeight="1">
      <c r="B7" s="23" t="s">
        <v>23</v>
      </c>
      <c r="C7" s="20" t="s">
        <v>3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</row>
    <row r="8" spans="2:38" ht="18.75" customHeight="1">
      <c r="B8" s="18"/>
      <c r="C8" s="15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92"/>
      <c r="AI8" s="92"/>
      <c r="AJ8" s="92"/>
      <c r="AK8" s="92"/>
      <c r="AL8" s="92"/>
    </row>
    <row r="9" spans="2:38" s="10" customFormat="1" ht="18.75" customHeight="1">
      <c r="B9" s="5" t="s">
        <v>8</v>
      </c>
      <c r="C9" s="20" t="s">
        <v>3</v>
      </c>
      <c r="D9" s="32">
        <f>THG!D9/THG!D$6</f>
        <v>0.3790907165992165</v>
      </c>
      <c r="E9" s="32">
        <f>THG!E9/THG!E$6</f>
        <v>0.38120111158439857</v>
      </c>
      <c r="F9" s="32">
        <f>THG!F9/THG!F$6</f>
        <v>0.37653153808123718</v>
      </c>
      <c r="G9" s="32">
        <f>THG!G9/THG!G$6</f>
        <v>0.37104141633268539</v>
      </c>
      <c r="H9" s="32">
        <f>THG!H9/THG!H$6</f>
        <v>0.3718104667588179</v>
      </c>
      <c r="I9" s="32">
        <f>THG!I9/THG!I$6</f>
        <v>0.36246494734342161</v>
      </c>
      <c r="J9" s="32">
        <f>THG!J9/THG!J$6</f>
        <v>0.3621600360665318</v>
      </c>
      <c r="K9" s="32">
        <f>THG!K9/THG!K$6</f>
        <v>0.35410014627132741</v>
      </c>
      <c r="L9" s="32">
        <f>THG!L9/THG!L$6</f>
        <v>0.36227763386319806</v>
      </c>
      <c r="M9" s="32">
        <f>THG!M9/THG!M$6</f>
        <v>0.3635649609087182</v>
      </c>
      <c r="N9" s="32">
        <f>THG!N9/THG!N$6</f>
        <v>0.37496502679432803</v>
      </c>
      <c r="O9" s="32">
        <f>THG!O9/THG!O$6</f>
        <v>0.37928595591263148</v>
      </c>
      <c r="P9" s="32">
        <f>THG!P9/THG!P$6</f>
        <v>0.38733881000612419</v>
      </c>
      <c r="Q9" s="32">
        <f>THG!Q9/THG!Q$6</f>
        <v>0.40614876705004882</v>
      </c>
      <c r="R9" s="32">
        <f>THG!R9/THG!R$6</f>
        <v>0.4102446752594669</v>
      </c>
      <c r="S9" s="32">
        <f>THG!S9/THG!S$6</f>
        <v>0.40677271352775624</v>
      </c>
      <c r="T9" s="32">
        <f>THG!T9/THG!T$6</f>
        <v>0.40181402443279152</v>
      </c>
      <c r="U9" s="32">
        <f>THG!U9/THG!U$6</f>
        <v>0.42164157593562829</v>
      </c>
      <c r="V9" s="32">
        <f>THG!V9/THG!V$6</f>
        <v>0.39958600955891921</v>
      </c>
      <c r="W9" s="32">
        <f>THG!W9/THG!W$6</f>
        <v>0.40111862781498253</v>
      </c>
      <c r="X9" s="32">
        <f>THG!X9/THG!X$6</f>
        <v>0.40057741876033282</v>
      </c>
      <c r="Y9" s="32">
        <f>THG!Y9/THG!Y$6</f>
        <v>0.40553153623989596</v>
      </c>
      <c r="Z9" s="32">
        <f>THG!Z9/THG!Z$6</f>
        <v>0.41368489162129024</v>
      </c>
      <c r="AA9" s="32">
        <f>THG!AA9/THG!AA$6</f>
        <v>0.41082237493703644</v>
      </c>
      <c r="AB9" s="32">
        <f>THG!AB9/THG!AB$6</f>
        <v>0.40593826506239222</v>
      </c>
      <c r="AC9" s="32">
        <f>THG!AC9/THG!AC$6</f>
        <v>0.38956672524439417</v>
      </c>
      <c r="AD9" s="32">
        <f>THG!AD9/THG!AD$6</f>
        <v>0.38597308347379472</v>
      </c>
      <c r="AE9" s="32">
        <f>THG!AE9/THG!AE$6</f>
        <v>0.37008482029693524</v>
      </c>
      <c r="AF9" s="32">
        <f>THG!AF9/THG!AF$6</f>
        <v>0.36448147505045037</v>
      </c>
      <c r="AG9" s="32">
        <f>THG!AG9/THG!AG$6</f>
        <v>0.32364345631081398</v>
      </c>
      <c r="AH9" s="32">
        <f>THG!AH9/THG!AH$6</f>
        <v>0.29882625367828786</v>
      </c>
      <c r="AI9" s="32">
        <f>THG!AI9/THG!AI$6</f>
        <v>0.32363116851594181</v>
      </c>
      <c r="AJ9" s="32">
        <f>THG!AJ9/THG!AJ$6</f>
        <v>0.34277900099969066</v>
      </c>
      <c r="AK9" s="32">
        <f>THG!AK9/THG!AK$6</f>
        <v>0.30145281274635621</v>
      </c>
      <c r="AL9" s="32">
        <f>THG!AL9/THG!AL$6</f>
        <v>0.28501874783436215</v>
      </c>
    </row>
    <row r="10" spans="2:38" ht="18.75" customHeight="1">
      <c r="B10" s="18" t="s">
        <v>0</v>
      </c>
      <c r="C10" s="15" t="s">
        <v>3</v>
      </c>
      <c r="D10" s="33">
        <f>THG!D10/THG!D$6</f>
        <v>0.34420618306807338</v>
      </c>
      <c r="E10" s="33">
        <f>THG!E10/THG!E$6</f>
        <v>0.3458069107959349</v>
      </c>
      <c r="F10" s="33">
        <f>THG!F10/THG!F$6</f>
        <v>0.34184974583159405</v>
      </c>
      <c r="G10" s="33">
        <f>THG!G10/THG!G$6</f>
        <v>0.33491354139613178</v>
      </c>
      <c r="H10" s="33">
        <f>THG!H10/THG!H$6</f>
        <v>0.33812502171513348</v>
      </c>
      <c r="I10" s="33">
        <f>THG!I10/THG!I$6</f>
        <v>0.32973652452402064</v>
      </c>
      <c r="J10" s="33">
        <f>THG!J10/THG!J$6</f>
        <v>0.33073765680551953</v>
      </c>
      <c r="K10" s="33">
        <f>THG!K10/THG!K$6</f>
        <v>0.32236782685972459</v>
      </c>
      <c r="L10" s="33">
        <f>THG!L10/THG!L$6</f>
        <v>0.33253462175222975</v>
      </c>
      <c r="M10" s="33">
        <f>THG!M10/THG!M$6</f>
        <v>0.33177837969095803</v>
      </c>
      <c r="N10" s="33">
        <f>THG!N10/THG!N$6</f>
        <v>0.34517342460125727</v>
      </c>
      <c r="O10" s="33">
        <f>THG!O10/THG!O$6</f>
        <v>0.35234486213848509</v>
      </c>
      <c r="P10" s="33">
        <f>THG!P10/THG!P$6</f>
        <v>0.36110047951340929</v>
      </c>
      <c r="Q10" s="33">
        <f>THG!Q10/THG!Q$6</f>
        <v>0.38184860777069612</v>
      </c>
      <c r="R10" s="33">
        <f>THG!R10/THG!R$6</f>
        <v>0.38848332892725657</v>
      </c>
      <c r="S10" s="33">
        <f>THG!S10/THG!S$6</f>
        <v>0.38680855536501468</v>
      </c>
      <c r="T10" s="33">
        <f>THG!T10/THG!T$6</f>
        <v>0.38392195246029076</v>
      </c>
      <c r="U10" s="33">
        <f>THG!U10/THG!U$6</f>
        <v>0.40501599036210351</v>
      </c>
      <c r="V10" s="33">
        <f>THG!V10/THG!V$6</f>
        <v>0.38360230094535369</v>
      </c>
      <c r="W10" s="33">
        <f>THG!W10/THG!W$6</f>
        <v>0.38606731254793536</v>
      </c>
      <c r="X10" s="33">
        <f>THG!X10/THG!X$6</f>
        <v>0.38648706485674739</v>
      </c>
      <c r="Y10" s="33">
        <f>THG!Y10/THG!Y$6</f>
        <v>0.39151602234807975</v>
      </c>
      <c r="Z10" s="33">
        <f>THG!Z10/THG!Z$6</f>
        <v>0.39917761062106477</v>
      </c>
      <c r="AA10" s="33">
        <f>THG!AA10/THG!AA$6</f>
        <v>0.39725413101226209</v>
      </c>
      <c r="AB10" s="33">
        <f>THG!AB10/THG!AB$6</f>
        <v>0.39359121003946457</v>
      </c>
      <c r="AC10" s="33">
        <f>THG!AC10/THG!AC$6</f>
        <v>0.37747835400981011</v>
      </c>
      <c r="AD10" s="33">
        <f>THG!AD10/THG!AD$6</f>
        <v>0.37518076977808856</v>
      </c>
      <c r="AE10" s="33">
        <f>THG!AE10/THG!AE$6</f>
        <v>0.35932645532510155</v>
      </c>
      <c r="AF10" s="33">
        <f>THG!AF10/THG!AF$6</f>
        <v>0.3551079032605845</v>
      </c>
      <c r="AG10" s="33">
        <f>THG!AG10/THG!AG$6</f>
        <v>0.31623398522239765</v>
      </c>
      <c r="AH10" s="92">
        <f>THG!AH10/THG!AH$6</f>
        <v>0.29218281334703572</v>
      </c>
      <c r="AI10" s="92">
        <f>THG!AI10/THG!AI$6</f>
        <v>0.31726955657110456</v>
      </c>
      <c r="AJ10" s="92">
        <f>THG!AJ10/THG!AJ$6</f>
        <v>0.33596265660647767</v>
      </c>
      <c r="AK10" s="92">
        <f>THG!AK10/THG!AK$6</f>
        <v>0.29472567579242109</v>
      </c>
      <c r="AL10" s="92">
        <f>THG!AL10/THG!AL$6</f>
        <v>0.27822057499311481</v>
      </c>
    </row>
    <row r="11" spans="2:38" s="88" customFormat="1" ht="18.75" customHeight="1">
      <c r="B11" s="19" t="s">
        <v>2</v>
      </c>
      <c r="C11" s="14" t="s">
        <v>3</v>
      </c>
      <c r="D11" s="34">
        <f>THG!D11/THG!D$6</f>
        <v>8.7999552820855519E-4</v>
      </c>
      <c r="E11" s="34">
        <f>THG!E11/THG!E$6</f>
        <v>9.6042904399784535E-4</v>
      </c>
      <c r="F11" s="34">
        <f>THG!F11/THG!F$6</f>
        <v>9.9065039295587621E-4</v>
      </c>
      <c r="G11" s="34">
        <f>THG!G11/THG!G$6</f>
        <v>1.0561051164595108E-3</v>
      </c>
      <c r="H11" s="34">
        <f>THG!H11/THG!H$6</f>
        <v>1.0924360940160716E-3</v>
      </c>
      <c r="I11" s="34">
        <f>THG!I11/THG!I$6</f>
        <v>1.199535361420676E-3</v>
      </c>
      <c r="J11" s="34">
        <f>THG!J11/THG!J$6</f>
        <v>1.3215258186921959E-3</v>
      </c>
      <c r="K11" s="34">
        <f>THG!K11/THG!K$6</f>
        <v>1.3031186358788555E-3</v>
      </c>
      <c r="L11" s="34">
        <f>THG!L11/THG!L$6</f>
        <v>1.343721563781055E-3</v>
      </c>
      <c r="M11" s="34">
        <f>THG!M11/THG!M$6</f>
        <v>1.3822720124024913E-3</v>
      </c>
      <c r="N11" s="34">
        <f>THG!N11/THG!N$6</f>
        <v>1.3732496608567849E-3</v>
      </c>
      <c r="O11" s="34">
        <f>THG!O11/THG!O$6</f>
        <v>1.4288509951425183E-3</v>
      </c>
      <c r="P11" s="34">
        <f>THG!P11/THG!P$6</f>
        <v>1.566903611147722E-3</v>
      </c>
      <c r="Q11" s="34">
        <f>THG!Q11/THG!Q$6</f>
        <v>1.4850487105339211E-3</v>
      </c>
      <c r="R11" s="34">
        <f>THG!R11/THG!R$6</f>
        <v>1.5303582282917448E-3</v>
      </c>
      <c r="S11" s="34">
        <f>THG!S11/THG!S$6</f>
        <v>1.5163092342912598E-3</v>
      </c>
      <c r="T11" s="34">
        <f>THG!T11/THG!T$6</f>
        <v>1.68759132565636E-3</v>
      </c>
      <c r="U11" s="34">
        <f>THG!U11/THG!U$6</f>
        <v>1.4351748121549217E-3</v>
      </c>
      <c r="V11" s="34">
        <f>THG!V11/THG!V$6</f>
        <v>1.4952105310797473E-3</v>
      </c>
      <c r="W11" s="34">
        <f>THG!W11/THG!W$6</f>
        <v>1.5178100239492441E-3</v>
      </c>
      <c r="X11" s="34">
        <f>THG!X11/THG!X$6</f>
        <v>1.2804270202723881E-3</v>
      </c>
      <c r="Y11" s="34">
        <f>THG!Y11/THG!Y$6</f>
        <v>1.3712419029349345E-3</v>
      </c>
      <c r="Z11" s="34">
        <f>THG!Z11/THG!Z$6</f>
        <v>1.3659010235775432E-3</v>
      </c>
      <c r="AA11" s="34">
        <f>THG!AA11/THG!AA$6</f>
        <v>1.5944412726132103E-3</v>
      </c>
      <c r="AB11" s="34">
        <f>THG!AB11/THG!AB$6</f>
        <v>1.3551068393308826E-3</v>
      </c>
      <c r="AC11" s="34">
        <f>THG!AC11/THG!AC$6</f>
        <v>1.383063998152631E-3</v>
      </c>
      <c r="AD11" s="34">
        <f>THG!AD11/THG!AD$6</f>
        <v>1.1815084561237299E-3</v>
      </c>
      <c r="AE11" s="34">
        <f>THG!AE11/THG!AE$6</f>
        <v>1.4375426593347957E-3</v>
      </c>
      <c r="AF11" s="34">
        <f>THG!AF11/THG!AF$6</f>
        <v>1.5793749502672966E-3</v>
      </c>
      <c r="AG11" s="34">
        <f>THG!AG11/THG!AG$6</f>
        <v>1.5160724822347127E-3</v>
      </c>
      <c r="AH11" s="34">
        <f>THG!AH11/THG!AH$6</f>
        <v>1.0609688183270136E-3</v>
      </c>
      <c r="AI11" s="34">
        <f>THG!AI11/THG!AI$6</f>
        <v>1.1127008837800874E-3</v>
      </c>
      <c r="AJ11" s="34">
        <f>THG!AJ11/THG!AJ$6</f>
        <v>1.7967397805153456E-3</v>
      </c>
      <c r="AK11" s="34">
        <f>THG!AK11/THG!AK$6</f>
        <v>1.4111579589395293E-3</v>
      </c>
      <c r="AL11" s="34">
        <f>THG!AL11/THG!AL$6</f>
        <v>1.3491750800047168E-3</v>
      </c>
    </row>
    <row r="12" spans="2:38" s="88" customFormat="1" ht="18.75" customHeight="1">
      <c r="B12" s="90" t="s">
        <v>1</v>
      </c>
      <c r="C12" s="89" t="s">
        <v>3</v>
      </c>
      <c r="D12" s="92">
        <f>THG!D12/THG!D$6</f>
        <v>3.4004538002934619E-2</v>
      </c>
      <c r="E12" s="92">
        <f>THG!E12/THG!E$6</f>
        <v>3.4433771744465838E-2</v>
      </c>
      <c r="F12" s="92">
        <f>THG!F12/THG!F$6</f>
        <v>3.3691141856687257E-2</v>
      </c>
      <c r="G12" s="92">
        <f>THG!G12/THG!G$6</f>
        <v>3.5071769820094106E-2</v>
      </c>
      <c r="H12" s="92">
        <f>THG!H12/THG!H$6</f>
        <v>3.2593008949668337E-2</v>
      </c>
      <c r="I12" s="92">
        <f>THG!I12/THG!I$6</f>
        <v>3.1528887457980326E-2</v>
      </c>
      <c r="J12" s="92">
        <f>THG!J12/THG!J$6</f>
        <v>3.0100853442320091E-2</v>
      </c>
      <c r="K12" s="92">
        <f>THG!K12/THG!K$6</f>
        <v>3.0429200775724016E-2</v>
      </c>
      <c r="L12" s="92">
        <f>THG!L12/THG!L$6</f>
        <v>2.8399290547187185E-2</v>
      </c>
      <c r="M12" s="92">
        <f>THG!M12/THG!M$6</f>
        <v>3.040430920535768E-2</v>
      </c>
      <c r="N12" s="92">
        <f>THG!N12/THG!N$6</f>
        <v>2.8418352532213923E-2</v>
      </c>
      <c r="O12" s="92">
        <f>THG!O12/THG!O$6</f>
        <v>2.5512242779003904E-2</v>
      </c>
      <c r="P12" s="92">
        <f>THG!P12/THG!P$6</f>
        <v>2.4671426881567222E-2</v>
      </c>
      <c r="Q12" s="92">
        <f>THG!Q12/THG!Q$6</f>
        <v>2.281511056881879E-2</v>
      </c>
      <c r="R12" s="92">
        <f>THG!R12/THG!R$6</f>
        <v>2.023098810391856E-2</v>
      </c>
      <c r="S12" s="92">
        <f>THG!S12/THG!S$6</f>
        <v>1.844784892845026E-2</v>
      </c>
      <c r="T12" s="92">
        <f>THG!T12/THG!T$6</f>
        <v>1.620448064684437E-2</v>
      </c>
      <c r="U12" s="92">
        <f>THG!U12/THG!U$6</f>
        <v>1.5190410761369903E-2</v>
      </c>
      <c r="V12" s="92">
        <f>THG!V12/THG!V$6</f>
        <v>1.4488498082485774E-2</v>
      </c>
      <c r="W12" s="92">
        <f>THG!W12/THG!W$6</f>
        <v>1.353350524309796E-2</v>
      </c>
      <c r="X12" s="92">
        <f>THG!X12/THG!X$6</f>
        <v>1.2809926883312962E-2</v>
      </c>
      <c r="Y12" s="92">
        <f>THG!Y12/THG!Y$6</f>
        <v>1.2644271988881232E-2</v>
      </c>
      <c r="Z12" s="92">
        <f>THG!Z12/THG!Z$6</f>
        <v>1.3141379976647894E-2</v>
      </c>
      <c r="AA12" s="92">
        <f>THG!AA12/THG!AA$6</f>
        <v>1.1973802652161195E-2</v>
      </c>
      <c r="AB12" s="92">
        <f>THG!AB12/THG!AB$6</f>
        <v>1.0991948183596733E-2</v>
      </c>
      <c r="AC12" s="92">
        <f>THG!AC12/THG!AC$6</f>
        <v>1.0705307236431439E-2</v>
      </c>
      <c r="AD12" s="92">
        <f>THG!AD12/THG!AD$6</f>
        <v>9.6108052395824685E-3</v>
      </c>
      <c r="AE12" s="92">
        <f>THG!AE12/THG!AE$6</f>
        <v>9.3208223124989012E-3</v>
      </c>
      <c r="AF12" s="92">
        <f>THG!AF12/THG!AF$6</f>
        <v>7.7941968395985666E-3</v>
      </c>
      <c r="AG12" s="92">
        <f>THG!AG12/THG!AG$6</f>
        <v>5.8933986061816233E-3</v>
      </c>
      <c r="AH12" s="92">
        <f>THG!AH12/THG!AH$6</f>
        <v>5.5824715129250985E-3</v>
      </c>
      <c r="AI12" s="92">
        <f>THG!AI12/THG!AI$6</f>
        <v>5.2489110610571951E-3</v>
      </c>
      <c r="AJ12" s="92">
        <f>THG!AJ12/THG!AJ$6</f>
        <v>5.0196046126976803E-3</v>
      </c>
      <c r="AK12" s="92">
        <f>THG!AK12/THG!AK$6</f>
        <v>5.3159789949955554E-3</v>
      </c>
      <c r="AL12" s="92">
        <f>THG!AL12/THG!AL$6</f>
        <v>5.4489977612426407E-3</v>
      </c>
    </row>
    <row r="13" spans="2:38" s="10" customFormat="1" ht="18.75" customHeight="1">
      <c r="B13" s="9"/>
      <c r="C13" s="20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</row>
    <row r="14" spans="2:38" s="10" customFormat="1" ht="18.75" customHeight="1">
      <c r="B14" s="6" t="s">
        <v>9</v>
      </c>
      <c r="C14" s="22" t="s">
        <v>3</v>
      </c>
      <c r="D14" s="31">
        <f>THG!D14/THG!D$6</f>
        <v>0.22173720303710698</v>
      </c>
      <c r="E14" s="31">
        <f>THG!E14/THG!E$6</f>
        <v>0.20916854811943317</v>
      </c>
      <c r="F14" s="31">
        <f>THG!F14/THG!F$6</f>
        <v>0.20834182038775043</v>
      </c>
      <c r="G14" s="31">
        <f>THG!G14/THG!G$6</f>
        <v>0.20153514044028331</v>
      </c>
      <c r="H14" s="31">
        <f>THG!H14/THG!H$6</f>
        <v>0.20794439754009181</v>
      </c>
      <c r="I14" s="31">
        <f>THG!I14/THG!I$6</f>
        <v>0.21090876584041199</v>
      </c>
      <c r="J14" s="31">
        <f>THG!J14/THG!J$6</f>
        <v>0.19786445317538789</v>
      </c>
      <c r="K14" s="31">
        <f>THG!K14/THG!K$6</f>
        <v>0.20840688743331306</v>
      </c>
      <c r="L14" s="31">
        <f>THG!L14/THG!L$6</f>
        <v>0.19750408535772321</v>
      </c>
      <c r="M14" s="31">
        <f>THG!M14/THG!M$6</f>
        <v>0.19425689895489903</v>
      </c>
      <c r="N14" s="31">
        <f>THG!N14/THG!N$6</f>
        <v>0.19436698791288118</v>
      </c>
      <c r="O14" s="31">
        <f>THG!O14/THG!O$6</f>
        <v>0.18165222710382384</v>
      </c>
      <c r="P14" s="31">
        <f>THG!P14/THG!P$6</f>
        <v>0.18331643369795597</v>
      </c>
      <c r="Q14" s="31">
        <f>THG!Q14/THG!Q$6</f>
        <v>0.18417774878079665</v>
      </c>
      <c r="R14" s="31">
        <f>THG!R14/THG!R$6</f>
        <v>0.18849793341690038</v>
      </c>
      <c r="S14" s="31">
        <f>THG!S14/THG!S$6</f>
        <v>0.18831138559587959</v>
      </c>
      <c r="T14" s="31">
        <f>THG!T14/THG!T$6</f>
        <v>0.1903074653792855</v>
      </c>
      <c r="U14" s="31">
        <f>THG!U14/THG!U$6</f>
        <v>0.20673296449888209</v>
      </c>
      <c r="V14" s="31">
        <f>THG!V14/THG!V$6</f>
        <v>0.20141750816244369</v>
      </c>
      <c r="W14" s="31">
        <f>THG!W14/THG!W$6</f>
        <v>0.18835457054070076</v>
      </c>
      <c r="X14" s="31">
        <f>THG!X14/THG!X$6</f>
        <v>0.19786027299817111</v>
      </c>
      <c r="Y14" s="31">
        <f>THG!Y14/THG!Y$6</f>
        <v>0.20093623580148193</v>
      </c>
      <c r="Z14" s="31">
        <f>THG!Z14/THG!Z$6</f>
        <v>0.19343681767469204</v>
      </c>
      <c r="AA14" s="31">
        <f>THG!AA14/THG!AA$6</f>
        <v>0.18956004044526184</v>
      </c>
      <c r="AB14" s="31">
        <f>THG!AB14/THG!AB$6</f>
        <v>0.19729102455330011</v>
      </c>
      <c r="AC14" s="31">
        <f>THG!AC14/THG!AC$6</f>
        <v>0.20294242284391006</v>
      </c>
      <c r="AD14" s="31">
        <f>THG!AD14/THG!AD$6</f>
        <v>0.20822519374615353</v>
      </c>
      <c r="AE14" s="31">
        <f>THG!AE14/THG!AE$6</f>
        <v>0.21829190676312543</v>
      </c>
      <c r="AF14" s="31">
        <f>THG!AF14/THG!AF$6</f>
        <v>0.21687782181529291</v>
      </c>
      <c r="AG14" s="31">
        <f>THG!AG14/THG!AG$6</f>
        <v>0.22469615043594307</v>
      </c>
      <c r="AH14" s="31">
        <f>THG!AH14/THG!AH$6</f>
        <v>0.23544176707069775</v>
      </c>
      <c r="AI14" s="31">
        <f>THG!AI14/THG!AI$6</f>
        <v>0.2367831122725631</v>
      </c>
      <c r="AJ14" s="31">
        <f>THG!AJ14/THG!AJ$6</f>
        <v>0.21950687587048512</v>
      </c>
      <c r="AK14" s="31">
        <f>THG!AK14/THG!AK$6</f>
        <v>0.22755820485000758</v>
      </c>
      <c r="AL14" s="31">
        <f>THG!AL14/THG!AL$6</f>
        <v>0.2357372032830716</v>
      </c>
    </row>
    <row r="15" spans="2:38" ht="18.75" customHeight="1">
      <c r="B15" s="19" t="s">
        <v>24</v>
      </c>
      <c r="C15" s="14" t="s">
        <v>3</v>
      </c>
      <c r="D15" s="34">
        <f>THG!D15/THG!D$6</f>
        <v>0.14725770739895458</v>
      </c>
      <c r="E15" s="34">
        <f>THG!E15/THG!E$6</f>
        <v>0.13489947988671411</v>
      </c>
      <c r="F15" s="34">
        <f>THG!F15/THG!F$6</f>
        <v>0.13091270621857423</v>
      </c>
      <c r="G15" s="34">
        <f>THG!G15/THG!G$6</f>
        <v>0.12238786581791769</v>
      </c>
      <c r="H15" s="34">
        <f>THG!H15/THG!H$6</f>
        <v>0.12262652108157689</v>
      </c>
      <c r="I15" s="34">
        <f>THG!I15/THG!I$6</f>
        <v>0.126460693689078</v>
      </c>
      <c r="J15" s="34">
        <f>THG!J15/THG!J$6</f>
        <v>0.11635755118379421</v>
      </c>
      <c r="K15" s="34">
        <f>THG!K15/THG!K$6</f>
        <v>0.12372179464593661</v>
      </c>
      <c r="L15" s="34">
        <f>THG!L15/THG!L$6</f>
        <v>0.1224038272583358</v>
      </c>
      <c r="M15" s="34">
        <f>THG!M15/THG!M$6</f>
        <v>0.12398503500061282</v>
      </c>
      <c r="N15" s="34">
        <f>THG!N15/THG!N$6</f>
        <v>0.12078642902741145</v>
      </c>
      <c r="O15" s="34">
        <f>THG!O15/THG!O$6</f>
        <v>0.11249217646125907</v>
      </c>
      <c r="P15" s="34">
        <f>THG!P15/THG!P$6</f>
        <v>0.11420535446327741</v>
      </c>
      <c r="Q15" s="34">
        <f>THG!Q15/THG!Q$6</f>
        <v>0.11194504753827138</v>
      </c>
      <c r="R15" s="34">
        <f>THG!R15/THG!R$6</f>
        <v>0.11281688437136145</v>
      </c>
      <c r="S15" s="34">
        <f>THG!S15/THG!S$6</f>
        <v>0.11476215540229595</v>
      </c>
      <c r="T15" s="34">
        <f>THG!T15/THG!T$6</f>
        <v>0.11745674628954858</v>
      </c>
      <c r="U15" s="34">
        <f>THG!U15/THG!U$6</f>
        <v>0.12756779271914109</v>
      </c>
      <c r="V15" s="34">
        <f>THG!V15/THG!V$6</f>
        <v>0.12718914911494775</v>
      </c>
      <c r="W15" s="34">
        <f>THG!W15/THG!W$6</f>
        <v>0.1172975464334233</v>
      </c>
      <c r="X15" s="34">
        <f>THG!X15/THG!X$6</f>
        <v>0.13133726358839423</v>
      </c>
      <c r="Y15" s="34">
        <f>THG!Y15/THG!Y$6</f>
        <v>0.13110822618904749</v>
      </c>
      <c r="Z15" s="34">
        <f>THG!Z15/THG!Z$6</f>
        <v>0.12745853934033241</v>
      </c>
      <c r="AA15" s="34">
        <f>THG!AA15/THG!AA$6</f>
        <v>0.12492742370143743</v>
      </c>
      <c r="AB15" s="34">
        <f>THG!AB15/THG!AB$6</f>
        <v>0.12941364751425763</v>
      </c>
      <c r="AC15" s="34">
        <f>THG!AC15/THG!AC$6</f>
        <v>0.13656437912499297</v>
      </c>
      <c r="AD15" s="34">
        <f>THG!AD15/THG!AD$6</f>
        <v>0.13959888239242779</v>
      </c>
      <c r="AE15" s="34">
        <f>THG!AE15/THG!AE$6</f>
        <v>0.14406146534523195</v>
      </c>
      <c r="AF15" s="34">
        <f>THG!AF15/THG!AF$6</f>
        <v>0.14355315195538443</v>
      </c>
      <c r="AG15" s="34">
        <f>THG!AG15/THG!AG$6</f>
        <v>0.15021170888718338</v>
      </c>
      <c r="AH15" s="34">
        <f>THG!AH15/THG!AH$6</f>
        <v>0.15993481431221107</v>
      </c>
      <c r="AI15" s="34">
        <f>THG!AI15/THG!AI$6</f>
        <v>0.16159435588927101</v>
      </c>
      <c r="AJ15" s="34">
        <f>THG!AJ15/THG!AJ$6</f>
        <v>0.15028365249345507</v>
      </c>
      <c r="AK15" s="34">
        <f>THG!AK15/THG!AK$6</f>
        <v>0.15738998082020411</v>
      </c>
      <c r="AL15" s="34">
        <f>THG!AL15/THG!AL$6</f>
        <v>0.16318509439434739</v>
      </c>
    </row>
    <row r="16" spans="2:38" ht="18.75" customHeight="1">
      <c r="B16" s="18" t="s">
        <v>11</v>
      </c>
      <c r="C16" s="15" t="s">
        <v>3</v>
      </c>
      <c r="D16" s="33">
        <f>THG!D16/THG!D$6</f>
        <v>1.8781880390576832E-2</v>
      </c>
      <c r="E16" s="33">
        <f>THG!E16/THG!E$6</f>
        <v>1.769464315563421E-2</v>
      </c>
      <c r="F16" s="33">
        <f>THG!F16/THG!F$6</f>
        <v>1.9130190849495365E-2</v>
      </c>
      <c r="G16" s="33">
        <f>THG!G16/THG!G$6</f>
        <v>1.9627611080968749E-2</v>
      </c>
      <c r="H16" s="33">
        <f>THG!H16/THG!H$6</f>
        <v>2.1363415132503203E-2</v>
      </c>
      <c r="I16" s="33">
        <f>THG!I16/THG!I$6</f>
        <v>2.1811371503550052E-2</v>
      </c>
      <c r="J16" s="33">
        <f>THG!J16/THG!J$6</f>
        <v>2.0245133402474597E-2</v>
      </c>
      <c r="K16" s="33">
        <f>THG!K16/THG!K$6</f>
        <v>2.137299273103796E-2</v>
      </c>
      <c r="L16" s="33">
        <f>THG!L16/THG!L$6</f>
        <v>2.1869214082367309E-2</v>
      </c>
      <c r="M16" s="33">
        <f>THG!M16/THG!M$6</f>
        <v>2.2686032518825332E-2</v>
      </c>
      <c r="N16" s="33">
        <f>THG!N16/THG!N$6</f>
        <v>2.2320582469508424E-2</v>
      </c>
      <c r="O16" s="33">
        <f>THG!O16/THG!O$6</f>
        <v>1.991922533190385E-2</v>
      </c>
      <c r="P16" s="33">
        <f>THG!P16/THG!P$6</f>
        <v>1.9463234162184231E-2</v>
      </c>
      <c r="Q16" s="33">
        <f>THG!Q16/THG!Q$6</f>
        <v>2.0335523570043642E-2</v>
      </c>
      <c r="R16" s="33">
        <f>THG!R16/THG!R$6</f>
        <v>2.1335826710027241E-2</v>
      </c>
      <c r="S16" s="33">
        <f>THG!S16/THG!S$6</f>
        <v>2.0334070792811177E-2</v>
      </c>
      <c r="T16" s="33">
        <f>THG!T16/THG!T$6</f>
        <v>2.0532700308324874E-2</v>
      </c>
      <c r="U16" s="33">
        <f>THG!U16/THG!U$6</f>
        <v>2.2755901830752153E-2</v>
      </c>
      <c r="V16" s="33">
        <f>THG!V16/THG!V$6</f>
        <v>2.1508525607818373E-2</v>
      </c>
      <c r="W16" s="33">
        <f>THG!W16/THG!W$6</f>
        <v>2.0506095593725081E-2</v>
      </c>
      <c r="X16" s="33">
        <f>THG!X16/THG!X$6</f>
        <v>2.0400091987636773E-2</v>
      </c>
      <c r="Y16" s="33">
        <f>THG!Y16/THG!Y$6</f>
        <v>2.2254556289435887E-2</v>
      </c>
      <c r="Z16" s="33">
        <f>THG!Z16/THG!Z$6</f>
        <v>2.144577667906215E-2</v>
      </c>
      <c r="AA16" s="33">
        <f>THG!AA16/THG!AA$6</f>
        <v>2.0421474994287498E-2</v>
      </c>
      <c r="AB16" s="33">
        <f>THG!AB16/THG!AB$6</f>
        <v>2.1977611837878497E-2</v>
      </c>
      <c r="AC16" s="33">
        <f>THG!AC16/THG!AC$6</f>
        <v>2.1313770572655454E-2</v>
      </c>
      <c r="AD16" s="33">
        <f>THG!AD16/THG!AD$6</f>
        <v>2.1429326037173339E-2</v>
      </c>
      <c r="AE16" s="33">
        <f>THG!AE16/THG!AE$6</f>
        <v>2.2594455092053458E-2</v>
      </c>
      <c r="AF16" s="33">
        <f>THG!AF16/THG!AF$6</f>
        <v>2.3224821358269879E-2</v>
      </c>
      <c r="AG16" s="33">
        <f>THG!AG16/THG!AG$6</f>
        <v>2.4521383639916534E-2</v>
      </c>
      <c r="AH16" s="92">
        <f>THG!AH16/THG!AH$6</f>
        <v>2.6196277466322165E-2</v>
      </c>
      <c r="AI16" s="92">
        <f>THG!AI16/THG!AI$6</f>
        <v>2.6259742996593945E-2</v>
      </c>
      <c r="AJ16" s="92">
        <f>THG!AJ16/THG!AJ$6</f>
        <v>2.5009916130534486E-2</v>
      </c>
      <c r="AK16" s="92">
        <f>THG!AK16/THG!AK$6</f>
        <v>2.3776968322719281E-2</v>
      </c>
      <c r="AL16" s="92">
        <f>THG!AL16/THG!AL$6</f>
        <v>2.2913010622818274E-2</v>
      </c>
    </row>
    <row r="17" spans="2:38" ht="18.75" customHeight="1">
      <c r="B17" s="19" t="s">
        <v>12</v>
      </c>
      <c r="C17" s="14" t="s">
        <v>3</v>
      </c>
      <c r="D17" s="34">
        <f>THG!D17/THG!D$6</f>
        <v>2.5838734782627677E-2</v>
      </c>
      <c r="E17" s="34">
        <f>THG!E17/THG!E$6</f>
        <v>2.6222326000957401E-2</v>
      </c>
      <c r="F17" s="34">
        <f>THG!F17/THG!F$6</f>
        <v>2.9304981787357874E-2</v>
      </c>
      <c r="G17" s="34">
        <f>THG!G17/THG!G$6</f>
        <v>2.7652016258236326E-2</v>
      </c>
      <c r="H17" s="34">
        <f>THG!H17/THG!H$6</f>
        <v>3.0342562963459913E-2</v>
      </c>
      <c r="I17" s="34">
        <f>THG!I17/THG!I$6</f>
        <v>3.0429343244443741E-2</v>
      </c>
      <c r="J17" s="34">
        <f>THG!J17/THG!J$6</f>
        <v>2.9872808631708485E-2</v>
      </c>
      <c r="K17" s="34">
        <f>THG!K17/THG!K$6</f>
        <v>2.8774274881970752E-2</v>
      </c>
      <c r="L17" s="34">
        <f>THG!L17/THG!L$6</f>
        <v>1.9007247948601692E-2</v>
      </c>
      <c r="M17" s="34">
        <f>THG!M17/THG!M$6</f>
        <v>1.5798418295548684E-2</v>
      </c>
      <c r="N17" s="34">
        <f>THG!N17/THG!N$6</f>
        <v>1.4674427285120618E-2</v>
      </c>
      <c r="O17" s="34">
        <f>THG!O17/THG!O$6</f>
        <v>1.5432943945094429E-2</v>
      </c>
      <c r="P17" s="34">
        <f>THG!P17/THG!P$6</f>
        <v>1.6903094622979516E-2</v>
      </c>
      <c r="Q17" s="34">
        <f>THG!Q17/THG!Q$6</f>
        <v>1.6629374689679469E-2</v>
      </c>
      <c r="R17" s="34">
        <f>THG!R17/THG!R$6</f>
        <v>1.7803860473556182E-2</v>
      </c>
      <c r="S17" s="34">
        <f>THG!S17/THG!S$6</f>
        <v>1.7584207311607859E-2</v>
      </c>
      <c r="T17" s="34">
        <f>THG!T17/THG!T$6</f>
        <v>1.6398971332939549E-2</v>
      </c>
      <c r="U17" s="34">
        <f>THG!U17/THG!U$6</f>
        <v>1.954969035679233E-2</v>
      </c>
      <c r="V17" s="34">
        <f>THG!V17/THG!V$6</f>
        <v>1.8018103793055785E-2</v>
      </c>
      <c r="W17" s="34">
        <f>THG!W17/THG!W$6</f>
        <v>1.9042509259533172E-2</v>
      </c>
      <c r="X17" s="34">
        <f>THG!X17/THG!X$6</f>
        <v>1.1168548874936521E-2</v>
      </c>
      <c r="Y17" s="34">
        <f>THG!Y17/THG!Y$6</f>
        <v>1.0757146881419434E-2</v>
      </c>
      <c r="Z17" s="34">
        <f>THG!Z17/THG!Z$6</f>
        <v>1.0484290937015524E-2</v>
      </c>
      <c r="AA17" s="34">
        <f>THG!AA17/THG!AA$6</f>
        <v>1.0317188328714807E-2</v>
      </c>
      <c r="AB17" s="34">
        <f>THG!AB17/THG!AB$6</f>
        <v>8.4893900229842008E-3</v>
      </c>
      <c r="AC17" s="34">
        <f>THG!AC17/THG!AC$6</f>
        <v>7.680994093148907E-3</v>
      </c>
      <c r="AD17" s="34">
        <f>THG!AD17/THG!AD$6</f>
        <v>7.7550829082702671E-3</v>
      </c>
      <c r="AE17" s="34">
        <f>THG!AE17/THG!AE$6</f>
        <v>7.8576218534367609E-3</v>
      </c>
      <c r="AF17" s="34">
        <f>THG!AF17/THG!AF$6</f>
        <v>7.9277863723602147E-3</v>
      </c>
      <c r="AG17" s="34">
        <f>THG!AG17/THG!AG$6</f>
        <v>8.1955848756875248E-3</v>
      </c>
      <c r="AH17" s="34">
        <f>THG!AH17/THG!AH$6</f>
        <v>8.9497521090212383E-3</v>
      </c>
      <c r="AI17" s="34">
        <f>THG!AI17/THG!AI$6</f>
        <v>8.4295758325020585E-3</v>
      </c>
      <c r="AJ17" s="34">
        <f>THG!AJ17/THG!AJ$6</f>
        <v>6.9634973548047931E-3</v>
      </c>
      <c r="AK17" s="34">
        <f>THG!AK17/THG!AK$6</f>
        <v>7.1001074572375374E-3</v>
      </c>
      <c r="AL17" s="34">
        <f>THG!AL17/THG!AL$6</f>
        <v>8.7453192669393713E-3</v>
      </c>
    </row>
    <row r="18" spans="2:38" ht="18.75" customHeight="1">
      <c r="B18" s="18" t="s">
        <v>13</v>
      </c>
      <c r="C18" s="15" t="s">
        <v>3</v>
      </c>
      <c r="D18" s="33">
        <f>THG!D18/THG!D$6</f>
        <v>2.227786718813983E-2</v>
      </c>
      <c r="E18" s="33">
        <f>THG!E18/THG!E$6</f>
        <v>2.2302411558367003E-2</v>
      </c>
      <c r="F18" s="33">
        <f>THG!F18/THG!F$6</f>
        <v>2.0098885802504345E-2</v>
      </c>
      <c r="G18" s="33">
        <f>THG!G18/THG!G$6</f>
        <v>2.0528706654285658E-2</v>
      </c>
      <c r="H18" s="33">
        <f>THG!H18/THG!H$6</f>
        <v>2.1861219839173558E-2</v>
      </c>
      <c r="I18" s="33">
        <f>THG!I18/THG!I$6</f>
        <v>2.0159065220065282E-2</v>
      </c>
      <c r="J18" s="33">
        <f>THG!J18/THG!J$6</f>
        <v>1.914846131691236E-2</v>
      </c>
      <c r="K18" s="33">
        <f>THG!K18/THG!K$6</f>
        <v>2.1236753107689098E-2</v>
      </c>
      <c r="L18" s="33">
        <f>THG!L18/THG!L$6</f>
        <v>2.018435764791153E-2</v>
      </c>
      <c r="M18" s="33">
        <f>THG!M18/THG!M$6</f>
        <v>1.8559148623174097E-2</v>
      </c>
      <c r="N18" s="33">
        <f>THG!N18/THG!N$6</f>
        <v>2.3201019006927691E-2</v>
      </c>
      <c r="O18" s="33">
        <f>THG!O18/THG!O$6</f>
        <v>2.0190099570345461E-2</v>
      </c>
      <c r="P18" s="33">
        <f>THG!P18/THG!P$6</f>
        <v>1.9118920783237275E-2</v>
      </c>
      <c r="Q18" s="33">
        <f>THG!Q18/THG!Q$6</f>
        <v>2.1520024592280102E-2</v>
      </c>
      <c r="R18" s="33">
        <f>THG!R18/THG!R$6</f>
        <v>2.2131469189449558E-2</v>
      </c>
      <c r="S18" s="33">
        <f>THG!S18/THG!S$6</f>
        <v>2.100577162054201E-2</v>
      </c>
      <c r="T18" s="33">
        <f>THG!T18/THG!T$6</f>
        <v>2.1041346079633979E-2</v>
      </c>
      <c r="U18" s="33">
        <f>THG!U18/THG!U$6</f>
        <v>2.0873800816580024E-2</v>
      </c>
      <c r="V18" s="33">
        <f>THG!V18/THG!V$6</f>
        <v>1.9067408269110551E-2</v>
      </c>
      <c r="W18" s="33">
        <f>THG!W18/THG!W$6</f>
        <v>1.4560678543941642E-2</v>
      </c>
      <c r="X18" s="33">
        <f>THG!X18/THG!X$6</f>
        <v>1.7910763260267287E-2</v>
      </c>
      <c r="Y18" s="33">
        <f>THG!Y18/THG!Y$6</f>
        <v>1.9009418894533506E-2</v>
      </c>
      <c r="Z18" s="33">
        <f>THG!Z18/THG!Z$6</f>
        <v>1.6225851996263096E-2</v>
      </c>
      <c r="AA18" s="33">
        <f>THG!AA18/THG!AA$6</f>
        <v>1.6461751847020589E-2</v>
      </c>
      <c r="AB18" s="33">
        <f>THG!AB18/THG!AB$6</f>
        <v>1.9153665395998852E-2</v>
      </c>
      <c r="AC18" s="33">
        <f>THG!AC18/THG!AC$6</f>
        <v>1.8874540582416083E-2</v>
      </c>
      <c r="AD18" s="33">
        <f>THG!AD18/THG!AD$6</f>
        <v>2.0711247490854769E-2</v>
      </c>
      <c r="AE18" s="33">
        <f>THG!AE18/THG!AE$6</f>
        <v>2.4735369612929572E-2</v>
      </c>
      <c r="AF18" s="33">
        <f>THG!AF18/THG!AF$6</f>
        <v>2.353584983737236E-2</v>
      </c>
      <c r="AG18" s="33">
        <f>THG!AG18/THG!AG$6</f>
        <v>2.2784978859679894E-2</v>
      </c>
      <c r="AH18" s="92">
        <f>THG!AH18/THG!AH$6</f>
        <v>2.1788339176856707E-2</v>
      </c>
      <c r="AI18" s="92">
        <f>THG!AI18/THG!AI$6</f>
        <v>2.3249770275780644E-2</v>
      </c>
      <c r="AJ18" s="92">
        <f>THG!AJ18/THG!AJ$6</f>
        <v>2.0907315835438377E-2</v>
      </c>
      <c r="AK18" s="92">
        <f>THG!AK18/THG!AK$6</f>
        <v>2.2437407930773909E-2</v>
      </c>
      <c r="AL18" s="92">
        <f>THG!AL18/THG!AL$6</f>
        <v>2.404679328495438E-2</v>
      </c>
    </row>
    <row r="19" spans="2:38" ht="18.75" customHeight="1">
      <c r="B19" s="19" t="s">
        <v>80</v>
      </c>
      <c r="C19" s="14" t="s">
        <v>3</v>
      </c>
      <c r="D19" s="34">
        <f>THG!D19/THG!D$6</f>
        <v>7.5810132768080992E-3</v>
      </c>
      <c r="E19" s="34">
        <f>THG!E19/THG!E$6</f>
        <v>8.0496875177604298E-3</v>
      </c>
      <c r="F19" s="34">
        <f>THG!F19/THG!F$6</f>
        <v>8.8950557298186437E-3</v>
      </c>
      <c r="G19" s="34">
        <f>THG!G19/THG!G$6</f>
        <v>1.1338940628874878E-2</v>
      </c>
      <c r="H19" s="34">
        <f>THG!H19/THG!H$6</f>
        <v>1.1750678523378256E-2</v>
      </c>
      <c r="I19" s="34">
        <f>THG!I19/THG!I$6</f>
        <v>1.2048292183274901E-2</v>
      </c>
      <c r="J19" s="34">
        <f>THG!J19/THG!J$6</f>
        <v>1.2240498640498271E-2</v>
      </c>
      <c r="K19" s="34">
        <f>THG!K19/THG!K$6</f>
        <v>1.3301072066678628E-2</v>
      </c>
      <c r="L19" s="34">
        <f>THG!L19/THG!L$6</f>
        <v>1.4039438420506881E-2</v>
      </c>
      <c r="M19" s="34">
        <f>THG!M19/THG!M$6</f>
        <v>1.3228264516738114E-2</v>
      </c>
      <c r="N19" s="34">
        <f>THG!N19/THG!N$6</f>
        <v>1.3384530123913007E-2</v>
      </c>
      <c r="O19" s="34">
        <f>THG!O19/THG!O$6</f>
        <v>1.3617781795221027E-2</v>
      </c>
      <c r="P19" s="34">
        <f>THG!P19/THG!P$6</f>
        <v>1.3625829666277537E-2</v>
      </c>
      <c r="Q19" s="34">
        <f>THG!Q19/THG!Q$6</f>
        <v>1.3747778390522084E-2</v>
      </c>
      <c r="R19" s="34">
        <f>THG!R19/THG!R$6</f>
        <v>1.4409892672505935E-2</v>
      </c>
      <c r="S19" s="34">
        <f>THG!S19/THG!S$6</f>
        <v>1.4625180468622614E-2</v>
      </c>
      <c r="T19" s="34">
        <f>THG!T19/THG!T$6</f>
        <v>1.4877701368838481E-2</v>
      </c>
      <c r="U19" s="34">
        <f>THG!U19/THG!U$6</f>
        <v>1.5985778775616497E-2</v>
      </c>
      <c r="V19" s="34">
        <f>THG!V19/THG!V$6</f>
        <v>1.5634321377511199E-2</v>
      </c>
      <c r="W19" s="34">
        <f>THG!W19/THG!W$6</f>
        <v>1.6947740710077569E-2</v>
      </c>
      <c r="X19" s="34">
        <f>THG!X19/THG!X$6</f>
        <v>1.7043605286936266E-2</v>
      </c>
      <c r="Y19" s="34">
        <f>THG!Y19/THG!Y$6</f>
        <v>1.7806887547045631E-2</v>
      </c>
      <c r="Z19" s="34">
        <f>THG!Z19/THG!Z$6</f>
        <v>1.7822358722018872E-2</v>
      </c>
      <c r="AA19" s="34">
        <f>THG!AA19/THG!AA$6</f>
        <v>1.7432201573801525E-2</v>
      </c>
      <c r="AB19" s="34">
        <f>THG!AB19/THG!AB$6</f>
        <v>1.8256709782180927E-2</v>
      </c>
      <c r="AC19" s="34">
        <f>THG!AC19/THG!AC$6</f>
        <v>1.8508738470696638E-2</v>
      </c>
      <c r="AD19" s="34">
        <f>THG!AD19/THG!AD$6</f>
        <v>1.8730654917427314E-2</v>
      </c>
      <c r="AE19" s="34">
        <f>THG!AE19/THG!AE$6</f>
        <v>1.9042994859473708E-2</v>
      </c>
      <c r="AF19" s="34">
        <f>THG!AF19/THG!AF$6</f>
        <v>1.8636212291906061E-2</v>
      </c>
      <c r="AG19" s="34">
        <f>THG!AG19/THG!AG$6</f>
        <v>1.8982494173475712E-2</v>
      </c>
      <c r="AH19" s="34">
        <f>THG!AH19/THG!AH$6</f>
        <v>1.8572584006286585E-2</v>
      </c>
      <c r="AI19" s="34">
        <f>THG!AI19/THG!AI$6</f>
        <v>1.7249667278415436E-2</v>
      </c>
      <c r="AJ19" s="34">
        <f>THG!AJ19/THG!AJ$6</f>
        <v>1.634249405625238E-2</v>
      </c>
      <c r="AK19" s="34">
        <f>THG!AK19/THG!AK$6</f>
        <v>1.6853740319072719E-2</v>
      </c>
      <c r="AL19" s="34">
        <f>THG!AL19/THG!AL$6</f>
        <v>1.6846985714012178E-2</v>
      </c>
    </row>
    <row r="20" spans="2:38" s="150" customFormat="1" ht="18.75" customHeight="1">
      <c r="B20" s="90"/>
      <c r="C20" s="160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</row>
    <row r="21" spans="2:38" s="10" customFormat="1" ht="18.75" customHeight="1">
      <c r="B21" s="152" t="s">
        <v>10</v>
      </c>
      <c r="C21" s="163" t="s">
        <v>3</v>
      </c>
      <c r="D21" s="32">
        <f>THG!D21/THG!D$6</f>
        <v>0.16770022623083575</v>
      </c>
      <c r="E21" s="32">
        <f>THG!E21/THG!E$6</f>
        <v>0.17274814835045071</v>
      </c>
      <c r="F21" s="32">
        <f>THG!F21/THG!F$6</f>
        <v>0.16444705056900802</v>
      </c>
      <c r="G21" s="32">
        <f>THG!G21/THG!G$6</f>
        <v>0.17162065467781423</v>
      </c>
      <c r="H21" s="32">
        <f>THG!H21/THG!H$6</f>
        <v>0.1648524646628825</v>
      </c>
      <c r="I21" s="32">
        <f>THG!I21/THG!I$6</f>
        <v>0.16719781664946923</v>
      </c>
      <c r="J21" s="32">
        <f>THG!J21/THG!J$6</f>
        <v>0.18498251130940024</v>
      </c>
      <c r="K21" s="32">
        <f>THG!K21/THG!K$6</f>
        <v>0.17899716017577047</v>
      </c>
      <c r="L21" s="32">
        <f>THG!L21/THG!L$6</f>
        <v>0.17560792360096997</v>
      </c>
      <c r="M21" s="32">
        <f>THG!M21/THG!M$6</f>
        <v>0.16536186060598951</v>
      </c>
      <c r="N21" s="32">
        <f>THG!N21/THG!N$6</f>
        <v>0.16001345791670021</v>
      </c>
      <c r="O21" s="32">
        <f>THG!O21/THG!O$6</f>
        <v>0.1770192725145299</v>
      </c>
      <c r="P21" s="32">
        <f>THG!P21/THG!P$6</f>
        <v>0.16816863376249019</v>
      </c>
      <c r="Q21" s="32">
        <f>THG!Q21/THG!Q$6</f>
        <v>0.15720401652046587</v>
      </c>
      <c r="R21" s="32">
        <f>THG!R21/THG!R$6</f>
        <v>0.15271910752859202</v>
      </c>
      <c r="S21" s="32">
        <f>THG!S21/THG!S$6</f>
        <v>0.15896114833774297</v>
      </c>
      <c r="T21" s="32">
        <f>THG!T21/THG!T$6</f>
        <v>0.16321495453528551</v>
      </c>
      <c r="U21" s="32">
        <f>THG!U21/THG!U$6</f>
        <v>0.1267487165708647</v>
      </c>
      <c r="V21" s="32">
        <f>THG!V21/THG!V$6</f>
        <v>0.15164393693423692</v>
      </c>
      <c r="W21" s="32">
        <f>THG!W21/THG!W$6</f>
        <v>0.15203384144677159</v>
      </c>
      <c r="X21" s="32">
        <f>THG!X21/THG!X$6</f>
        <v>0.15365057159758375</v>
      </c>
      <c r="Y21" s="32">
        <f>THG!Y21/THG!Y$6</f>
        <v>0.13747941063216362</v>
      </c>
      <c r="Z21" s="32">
        <f>THG!Z21/THG!Z$6</f>
        <v>0.14216951624877888</v>
      </c>
      <c r="AA21" s="32">
        <f>THG!AA21/THG!AA$6</f>
        <v>0.14894176198169656</v>
      </c>
      <c r="AB21" s="32">
        <f>THG!AB21/THG!AB$6</f>
        <v>0.13461921261343304</v>
      </c>
      <c r="AC21" s="32">
        <f>THG!AC21/THG!AC$6</f>
        <v>0.13998188865152539</v>
      </c>
      <c r="AD21" s="32">
        <f>THG!AD21/THG!AD$6</f>
        <v>0.13541336809280241</v>
      </c>
      <c r="AE21" s="32">
        <f>THG!AE21/THG!AE$6</f>
        <v>0.13729943389675739</v>
      </c>
      <c r="AF21" s="32">
        <f>THG!AF21/THG!AF$6</f>
        <v>0.13614160421201121</v>
      </c>
      <c r="AG21" s="32">
        <f>THG!AG21/THG!AG$6</f>
        <v>0.15324406340134836</v>
      </c>
      <c r="AH21" s="32">
        <f>THG!AH21/THG!AH$6</f>
        <v>0.16711899905924391</v>
      </c>
      <c r="AI21" s="32">
        <f>THG!AI21/THG!AI$6</f>
        <v>0.15666218902720902</v>
      </c>
      <c r="AJ21" s="32">
        <f>THG!AJ21/THG!AJ$6</f>
        <v>0.14759042429954849</v>
      </c>
      <c r="AK21" s="32">
        <f>THG!AK21/THG!AK$6</f>
        <v>0.15316947485340227</v>
      </c>
      <c r="AL21" s="32">
        <f>THG!AL21/THG!AL$6</f>
        <v>0.15489545141324287</v>
      </c>
    </row>
    <row r="22" spans="2:38" s="150" customFormat="1" ht="18.75" customHeight="1">
      <c r="B22" s="90" t="s">
        <v>72</v>
      </c>
      <c r="C22" s="160" t="s">
        <v>3</v>
      </c>
      <c r="D22" s="92">
        <f>THG!D22/THG!D$6</f>
        <v>5.2533861345965251E-2</v>
      </c>
      <c r="E22" s="92">
        <f>THG!E22/THG!E$6</f>
        <v>5.4614476748033346E-2</v>
      </c>
      <c r="F22" s="92">
        <f>THG!F22/THG!F$6</f>
        <v>5.0518732263382431E-2</v>
      </c>
      <c r="G22" s="92">
        <f>THG!G22/THG!G$6</f>
        <v>4.8835515132662141E-2</v>
      </c>
      <c r="H22" s="92">
        <f>THG!H22/THG!H$6</f>
        <v>4.5504913009547718E-2</v>
      </c>
      <c r="I22" s="92">
        <f>THG!I22/THG!I$6</f>
        <v>4.7501471900256678E-2</v>
      </c>
      <c r="J22" s="92">
        <f>THG!J22/THG!J$6</f>
        <v>5.6170345979461321E-2</v>
      </c>
      <c r="K22" s="92">
        <f>THG!K22/THG!K$6</f>
        <v>4.9793431907878785E-2</v>
      </c>
      <c r="L22" s="92">
        <f>THG!L22/THG!L$6</f>
        <v>4.9392570518068162E-2</v>
      </c>
      <c r="M22" s="92">
        <f>THG!M22/THG!M$6</f>
        <v>4.7086824942217033E-2</v>
      </c>
      <c r="N22" s="92">
        <f>THG!N22/THG!N$6</f>
        <v>4.3646977039003186E-2</v>
      </c>
      <c r="O22" s="92">
        <f>THG!O22/THG!O$6</f>
        <v>4.9885270101900428E-2</v>
      </c>
      <c r="P22" s="92">
        <f>THG!P22/THG!P$6</f>
        <v>4.8098233025145917E-2</v>
      </c>
      <c r="Q22" s="92">
        <f>THG!Q22/THG!Q$6</f>
        <v>3.579975393079679E-2</v>
      </c>
      <c r="R22" s="92">
        <f>THG!R22/THG!R$6</f>
        <v>3.6856015134495539E-2</v>
      </c>
      <c r="S22" s="92">
        <f>THG!S22/THG!S$6</f>
        <v>4.4147421652656789E-2</v>
      </c>
      <c r="T22" s="92">
        <f>THG!T22/THG!T$6</f>
        <v>4.8036677024915916E-2</v>
      </c>
      <c r="U22" s="92">
        <f>THG!U22/THG!U$6</f>
        <v>3.4712455602313612E-2</v>
      </c>
      <c r="V22" s="92">
        <f>THG!V22/THG!V$6</f>
        <v>4.0081668331866563E-2</v>
      </c>
      <c r="W22" s="92">
        <f>THG!W22/THG!W$6</f>
        <v>4.0555509196450006E-2</v>
      </c>
      <c r="X22" s="92">
        <f>THG!X22/THG!X$6</f>
        <v>3.8187335454465128E-2</v>
      </c>
      <c r="Y22" s="92">
        <f>THG!Y22/THG!Y$6</f>
        <v>3.8361937138811739E-2</v>
      </c>
      <c r="Z22" s="92">
        <f>THG!Z22/THG!Z$6</f>
        <v>3.6916108114230621E-2</v>
      </c>
      <c r="AA22" s="92">
        <f>THG!AA22/THG!AA$6</f>
        <v>3.9897343630503949E-2</v>
      </c>
      <c r="AB22" s="92">
        <f>THG!AB22/THG!AB$6</f>
        <v>3.9057259436961062E-2</v>
      </c>
      <c r="AC22" s="92">
        <f>THG!AC22/THG!AC$6</f>
        <v>4.0240104811884475E-2</v>
      </c>
      <c r="AD22" s="92">
        <f>THG!AD22/THG!AD$6</f>
        <v>3.1824375521874837E-2</v>
      </c>
      <c r="AE22" s="92">
        <f>THG!AE22/THG!AE$6</f>
        <v>3.378818638821917E-2</v>
      </c>
      <c r="AF22" s="92">
        <f>THG!AF22/THG!AF$6</f>
        <v>2.9985355219802397E-2</v>
      </c>
      <c r="AG22" s="92">
        <f>THG!AG22/THG!AG$6</f>
        <v>3.2517621212770943E-2</v>
      </c>
      <c r="AH22" s="92">
        <f>THG!AH22/THG!AH$6</f>
        <v>3.4156926719425322E-2</v>
      </c>
      <c r="AI22" s="92">
        <f>THG!AI22/THG!AI$6</f>
        <v>3.3915690136324853E-2</v>
      </c>
      <c r="AJ22" s="92">
        <f>THG!AJ22/THG!AJ$6</f>
        <v>3.2694586844648613E-2</v>
      </c>
      <c r="AK22" s="92">
        <f>THG!AK22/THG!AK$6</f>
        <v>3.4344177031281495E-2</v>
      </c>
      <c r="AL22" s="92">
        <f>THG!AL22/THG!AL$6</f>
        <v>3.3105555503669282E-2</v>
      </c>
    </row>
    <row r="23" spans="2:38" s="150" customFormat="1" ht="18.75" customHeight="1">
      <c r="B23" s="19" t="s">
        <v>17</v>
      </c>
      <c r="C23" s="159" t="s">
        <v>3</v>
      </c>
      <c r="D23" s="34">
        <f>THG!D23/THG!D$6</f>
        <v>0.10547955711678948</v>
      </c>
      <c r="E23" s="34">
        <f>THG!E23/THG!E$6</f>
        <v>0.11096322109608892</v>
      </c>
      <c r="F23" s="34">
        <f>THG!F23/THG!F$6</f>
        <v>0.10825452963058503</v>
      </c>
      <c r="G23" s="34">
        <f>THG!G23/THG!G$6</f>
        <v>0.11820993732507142</v>
      </c>
      <c r="H23" s="34">
        <f>THG!H23/THG!H$6</f>
        <v>0.11507080108776829</v>
      </c>
      <c r="I23" s="34">
        <f>THG!I23/THG!I$6</f>
        <v>0.11611334002694382</v>
      </c>
      <c r="J23" s="34">
        <f>THG!J23/THG!J$6</f>
        <v>0.1260523428088216</v>
      </c>
      <c r="K23" s="34">
        <f>THG!K23/THG!K$6</f>
        <v>0.12645199102362925</v>
      </c>
      <c r="L23" s="34">
        <f>THG!L23/THG!L$6</f>
        <v>0.12339033577107884</v>
      </c>
      <c r="M23" s="34">
        <f>THG!M23/THG!M$6</f>
        <v>0.11578531455624777</v>
      </c>
      <c r="N23" s="34">
        <f>THG!N23/THG!N$6</f>
        <v>0.11412964545118538</v>
      </c>
      <c r="O23" s="34">
        <f>THG!O23/THG!O$6</f>
        <v>0.12532623251780045</v>
      </c>
      <c r="P23" s="34">
        <f>THG!P23/THG!P$6</f>
        <v>0.11818952107655799</v>
      </c>
      <c r="Q23" s="34">
        <f>THG!Q23/THG!Q$6</f>
        <v>0.11943258857763578</v>
      </c>
      <c r="R23" s="34">
        <f>THG!R23/THG!R$6</f>
        <v>0.11413168793296093</v>
      </c>
      <c r="S23" s="34">
        <f>THG!S23/THG!S$6</f>
        <v>0.11302763799595218</v>
      </c>
      <c r="T23" s="34">
        <f>THG!T23/THG!T$6</f>
        <v>0.11357235763037807</v>
      </c>
      <c r="U23" s="34">
        <f>THG!U23/THG!U$6</f>
        <v>9.0649213995363381E-2</v>
      </c>
      <c r="V23" s="34">
        <f>THG!V23/THG!V$6</f>
        <v>0.11016100630846092</v>
      </c>
      <c r="W23" s="34">
        <f>THG!W23/THG!W$6</f>
        <v>0.1099421898040758</v>
      </c>
      <c r="X23" s="34">
        <f>THG!X23/THG!X$6</f>
        <v>0.11401894444816463</v>
      </c>
      <c r="Y23" s="34">
        <f>THG!Y23/THG!Y$6</f>
        <v>9.7747142872344026E-2</v>
      </c>
      <c r="Z23" s="34">
        <f>THG!Z23/THG!Z$6</f>
        <v>0.10412857802834825</v>
      </c>
      <c r="AA23" s="34">
        <f>THG!AA23/THG!AA$6</f>
        <v>0.10789796057276407</v>
      </c>
      <c r="AB23" s="34">
        <f>THG!AB23/THG!AB$6</f>
        <v>9.4439995280706138E-2</v>
      </c>
      <c r="AC23" s="34">
        <f>THG!AC23/THG!AC$6</f>
        <v>9.8638816909367641E-2</v>
      </c>
      <c r="AD23" s="34">
        <f>THG!AD23/THG!AD$6</f>
        <v>0.10243875703928061</v>
      </c>
      <c r="AE23" s="34">
        <f>THG!AE23/THG!AE$6</f>
        <v>0.10254669971760765</v>
      </c>
      <c r="AF23" s="34">
        <f>THG!AF23/THG!AF$6</f>
        <v>0.10526614589015157</v>
      </c>
      <c r="AG23" s="34">
        <f>THG!AG23/THG!AG$6</f>
        <v>0.11957127237257865</v>
      </c>
      <c r="AH23" s="34">
        <f>THG!AH23/THG!AH$6</f>
        <v>0.13188624411265296</v>
      </c>
      <c r="AI23" s="34">
        <f>THG!AI23/THG!AI$6</f>
        <v>0.12145660084777239</v>
      </c>
      <c r="AJ23" s="34">
        <f>THG!AJ23/THG!AJ$6</f>
        <v>0.1137431413156237</v>
      </c>
      <c r="AK23" s="34">
        <f>THG!AK23/THG!AK$6</f>
        <v>0.1175936781585124</v>
      </c>
      <c r="AL23" s="34">
        <f>THG!AL23/THG!AL$6</f>
        <v>0.1204666535169933</v>
      </c>
    </row>
    <row r="24" spans="2:38" s="150" customFormat="1" ht="18.75" customHeight="1">
      <c r="B24" s="90" t="s">
        <v>73</v>
      </c>
      <c r="C24" s="160" t="s">
        <v>3</v>
      </c>
      <c r="D24" s="92">
        <f>THG!D24/THG!D$6</f>
        <v>9.6868077680810141E-3</v>
      </c>
      <c r="E24" s="92">
        <f>THG!E24/THG!E$6</f>
        <v>7.1704505063284558E-3</v>
      </c>
      <c r="F24" s="92">
        <f>THG!F24/THG!F$6</f>
        <v>5.673788675040565E-3</v>
      </c>
      <c r="G24" s="92">
        <f>THG!G24/THG!G$6</f>
        <v>4.5752022200806659E-3</v>
      </c>
      <c r="H24" s="92">
        <f>THG!H24/THG!H$6</f>
        <v>4.2767505655664766E-3</v>
      </c>
      <c r="I24" s="92">
        <f>THG!I24/THG!I$6</f>
        <v>3.5830047222687395E-3</v>
      </c>
      <c r="J24" s="92">
        <f>THG!J24/THG!J$6</f>
        <v>2.7598225211173128E-3</v>
      </c>
      <c r="K24" s="92">
        <f>THG!K24/THG!K$6</f>
        <v>2.7517372442624317E-3</v>
      </c>
      <c r="L24" s="92">
        <f>THG!L24/THG!L$6</f>
        <v>2.8250173118229724E-3</v>
      </c>
      <c r="M24" s="92">
        <f>THG!M24/THG!M$6</f>
        <v>2.4897211075246991E-3</v>
      </c>
      <c r="N24" s="92">
        <f>THG!N24/THG!N$6</f>
        <v>2.2368354265116541E-3</v>
      </c>
      <c r="O24" s="92">
        <f>THG!O24/THG!O$6</f>
        <v>1.8077698948290623E-3</v>
      </c>
      <c r="P24" s="92">
        <f>THG!P24/THG!P$6</f>
        <v>1.8808796607862675E-3</v>
      </c>
      <c r="Q24" s="92">
        <f>THG!Q24/THG!Q$6</f>
        <v>1.9716740120333171E-3</v>
      </c>
      <c r="R24" s="92">
        <f>THG!R24/THG!R$6</f>
        <v>1.731404461135572E-3</v>
      </c>
      <c r="S24" s="92">
        <f>THG!S24/THG!S$6</f>
        <v>1.7860886891339954E-3</v>
      </c>
      <c r="T24" s="92">
        <f>THG!T24/THG!T$6</f>
        <v>1.6059198799915173E-3</v>
      </c>
      <c r="U24" s="92">
        <f>THG!U24/THG!U$6</f>
        <v>1.3870469731877037E-3</v>
      </c>
      <c r="V24" s="92">
        <f>THG!V24/THG!V$6</f>
        <v>1.4012622939094542E-3</v>
      </c>
      <c r="W24" s="92">
        <f>THG!W24/THG!W$6</f>
        <v>1.5361424462457915E-3</v>
      </c>
      <c r="X24" s="92">
        <f>THG!X24/THG!X$6</f>
        <v>1.4442916949539899E-3</v>
      </c>
      <c r="Y24" s="92">
        <f>THG!Y24/THG!Y$6</f>
        <v>1.3703306210078807E-3</v>
      </c>
      <c r="Z24" s="92">
        <f>THG!Z24/THG!Z$6</f>
        <v>1.1248301062000124E-3</v>
      </c>
      <c r="AA24" s="92">
        <f>THG!AA24/THG!AA$6</f>
        <v>1.1464577784285187E-3</v>
      </c>
      <c r="AB24" s="92">
        <f>THG!AB24/THG!AB$6</f>
        <v>1.1219578957658459E-3</v>
      </c>
      <c r="AC24" s="92">
        <f>THG!AC24/THG!AC$6</f>
        <v>1.1029669302732733E-3</v>
      </c>
      <c r="AD24" s="92">
        <f>THG!AD24/THG!AD$6</f>
        <v>1.1502355316469598E-3</v>
      </c>
      <c r="AE24" s="92">
        <f>THG!AE24/THG!AE$6</f>
        <v>9.6454779093057511E-4</v>
      </c>
      <c r="AF24" s="92">
        <f>THG!AF24/THG!AF$6</f>
        <v>8.9010310205725755E-4</v>
      </c>
      <c r="AG24" s="92">
        <f>THG!AG24/THG!AG$6</f>
        <v>1.155169815998759E-3</v>
      </c>
      <c r="AH24" s="92">
        <f>THG!AH24/THG!AH$6</f>
        <v>1.075828227165634E-3</v>
      </c>
      <c r="AI24" s="92">
        <f>THG!AI24/THG!AI$6</f>
        <v>1.2898980431118004E-3</v>
      </c>
      <c r="AJ24" s="92">
        <f>THG!AJ24/THG!AJ$6</f>
        <v>1.1526961392761847E-3</v>
      </c>
      <c r="AK24" s="92">
        <f>THG!AK24/THG!AK$6</f>
        <v>1.2316196636083518E-3</v>
      </c>
      <c r="AL24" s="92">
        <f>THG!AL24/THG!AL$6</f>
        <v>1.3232423925802744E-3</v>
      </c>
    </row>
    <row r="25" spans="2:38" s="150" customFormat="1" ht="18.75" customHeight="1">
      <c r="B25" s="19"/>
      <c r="C25" s="15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2:38" s="10" customFormat="1" ht="18.75" customHeight="1">
      <c r="B26" s="153" t="s">
        <v>14</v>
      </c>
      <c r="C26" s="22" t="s">
        <v>3</v>
      </c>
      <c r="D26" s="31">
        <f>THG!D26/THG!D$6</f>
        <v>0.13043413748351726</v>
      </c>
      <c r="E26" s="31">
        <f>THG!E26/THG!E$6</f>
        <v>0.13783169245799567</v>
      </c>
      <c r="F26" s="31">
        <f>THG!F26/THG!F$6</f>
        <v>0.14879590203148682</v>
      </c>
      <c r="G26" s="31">
        <f>THG!G26/THG!G$6</f>
        <v>0.15375049240189742</v>
      </c>
      <c r="H26" s="31">
        <f>THG!H26/THG!H$6</f>
        <v>0.15267010254632227</v>
      </c>
      <c r="I26" s="31">
        <f>THG!I26/THG!I$6</f>
        <v>0.15687534822871677</v>
      </c>
      <c r="J26" s="31">
        <f>THG!J26/THG!J$6</f>
        <v>0.15412481880397735</v>
      </c>
      <c r="K26" s="31">
        <f>THG!K26/THG!K$6</f>
        <v>0.15949619246450888</v>
      </c>
      <c r="L26" s="31">
        <f>THG!L26/THG!L$6</f>
        <v>0.16623552091194024</v>
      </c>
      <c r="M26" s="31">
        <f>THG!M26/THG!M$6</f>
        <v>0.17655437400638965</v>
      </c>
      <c r="N26" s="31">
        <f>THG!N26/THG!N$6</f>
        <v>0.17324976983190404</v>
      </c>
      <c r="O26" s="31">
        <f>THG!O26/THG!O$6</f>
        <v>0.16719200687380442</v>
      </c>
      <c r="P26" s="31">
        <f>THG!P26/THG!P$6</f>
        <v>0.16826757175050472</v>
      </c>
      <c r="Q26" s="31">
        <f>THG!Q26/THG!Q$6</f>
        <v>0.1609171842303678</v>
      </c>
      <c r="R26" s="31">
        <f>THG!R26/THG!R$6</f>
        <v>0.15910338825242906</v>
      </c>
      <c r="S26" s="31">
        <f>THG!S26/THG!S$6</f>
        <v>0.15717114859753784</v>
      </c>
      <c r="T26" s="31">
        <f>THG!T26/THG!T$6</f>
        <v>0.15975552042374186</v>
      </c>
      <c r="U26" s="31">
        <f>THG!U26/THG!U$6</f>
        <v>0.1582976363209167</v>
      </c>
      <c r="V26" s="31">
        <f>THG!V26/THG!V$6</f>
        <v>0.16205592591632409</v>
      </c>
      <c r="W26" s="31">
        <f>THG!W26/THG!W$6</f>
        <v>0.16844401968347428</v>
      </c>
      <c r="X26" s="31">
        <f>THG!X26/THG!X$6</f>
        <v>0.16172877576947028</v>
      </c>
      <c r="Y26" s="31">
        <f>THG!Y26/THG!Y$6</f>
        <v>0.16797068878370347</v>
      </c>
      <c r="Z26" s="31">
        <f>THG!Z26/THG!Z$6</f>
        <v>0.16427692626864004</v>
      </c>
      <c r="AA26" s="31">
        <f>THG!AA26/THG!AA$6</f>
        <v>0.16561495454093647</v>
      </c>
      <c r="AB26" s="31">
        <f>THG!AB26/THG!AB$6</f>
        <v>0.17218162968188067</v>
      </c>
      <c r="AC26" s="31">
        <f>THG!AC26/THG!AC$6</f>
        <v>0.17928195127401186</v>
      </c>
      <c r="AD26" s="31">
        <f>THG!AD26/THG!AD$6</f>
        <v>0.18255450113156282</v>
      </c>
      <c r="AE26" s="31">
        <f>THG!AE26/THG!AE$6</f>
        <v>0.18722559542443964</v>
      </c>
      <c r="AF26" s="31">
        <f>THG!AF26/THG!AF$6</f>
        <v>0.19391334720482084</v>
      </c>
      <c r="AG26" s="31">
        <f>THG!AG26/THG!AG$6</f>
        <v>0.20590736333815421</v>
      </c>
      <c r="AH26" s="31">
        <f>THG!AH26/THG!AH$6</f>
        <v>0.19970951214610763</v>
      </c>
      <c r="AI26" s="31">
        <f>THG!AI26/THG!AI$6</f>
        <v>0.18990537043853864</v>
      </c>
      <c r="AJ26" s="31">
        <f>THG!AJ26/THG!AJ$6</f>
        <v>0.19723866530453507</v>
      </c>
      <c r="AK26" s="31">
        <f>THG!AK26/THG!AK$6</f>
        <v>0.21596245430604966</v>
      </c>
      <c r="AL26" s="31">
        <f>THG!AL26/THG!AL$6</f>
        <v>0.22040345075143297</v>
      </c>
    </row>
    <row r="27" spans="2:38" s="150" customFormat="1" ht="18.75" customHeight="1">
      <c r="B27" s="19" t="s">
        <v>4</v>
      </c>
      <c r="C27" s="159" t="s">
        <v>3</v>
      </c>
      <c r="D27" s="34">
        <f>THG!D27/THG!D$6</f>
        <v>1.8641414659392877E-3</v>
      </c>
      <c r="E27" s="34">
        <f>THG!E27/THG!E$6</f>
        <v>1.865641850162533E-3</v>
      </c>
      <c r="F27" s="34">
        <f>THG!F27/THG!F$6</f>
        <v>1.9771480941737467E-3</v>
      </c>
      <c r="G27" s="34">
        <f>THG!G27/THG!G$6</f>
        <v>1.9169598206371294E-3</v>
      </c>
      <c r="H27" s="34">
        <f>THG!H27/THG!H$6</f>
        <v>1.9317104930897729E-3</v>
      </c>
      <c r="I27" s="34">
        <f>THG!I27/THG!I$6</f>
        <v>2.0394581039924185E-3</v>
      </c>
      <c r="J27" s="34">
        <f>THG!J27/THG!J$6</f>
        <v>1.9337529813595392E-3</v>
      </c>
      <c r="K27" s="34">
        <f>THG!K27/THG!K$6</f>
        <v>2.0973805282786628E-3</v>
      </c>
      <c r="L27" s="34">
        <f>THG!L27/THG!L$6</f>
        <v>2.1564945161373877E-3</v>
      </c>
      <c r="M27" s="34">
        <f>THG!M27/THG!M$6</f>
        <v>2.2671532561999346E-3</v>
      </c>
      <c r="N27" s="34">
        <f>THG!N27/THG!N$6</f>
        <v>2.3911737774813435E-3</v>
      </c>
      <c r="O27" s="34">
        <f>THG!O27/THG!O$6</f>
        <v>2.2790877200067339E-3</v>
      </c>
      <c r="P27" s="34">
        <f>THG!P27/THG!P$6</f>
        <v>2.2195183859626852E-3</v>
      </c>
      <c r="Q27" s="34">
        <f>THG!Q27/THG!Q$6</f>
        <v>2.2251080486563207E-3</v>
      </c>
      <c r="R27" s="34">
        <f>THG!R27/THG!R$6</f>
        <v>2.2486532949573825E-3</v>
      </c>
      <c r="S27" s="34">
        <f>THG!S27/THG!S$6</f>
        <v>2.3060084474308584E-3</v>
      </c>
      <c r="T27" s="34">
        <f>THG!T27/THG!T$6</f>
        <v>2.3285324839902757E-3</v>
      </c>
      <c r="U27" s="34">
        <f>THG!U27/THG!U$6</f>
        <v>2.4982927074458181E-3</v>
      </c>
      <c r="V27" s="34">
        <f>THG!V27/THG!V$6</f>
        <v>2.5027694303010671E-3</v>
      </c>
      <c r="W27" s="34">
        <f>THG!W27/THG!W$6</f>
        <v>2.5299166032975093E-3</v>
      </c>
      <c r="X27" s="34">
        <f>THG!X27/THG!X$6</f>
        <v>2.4407234253731439E-3</v>
      </c>
      <c r="Y27" s="34">
        <f>THG!Y27/THG!Y$6</f>
        <v>2.5289042292310814E-3</v>
      </c>
      <c r="Z27" s="34">
        <f>THG!Z27/THG!Z$6</f>
        <v>2.3770115246220707E-3</v>
      </c>
      <c r="AA27" s="34">
        <f>THG!AA27/THG!AA$6</f>
        <v>2.1091086725055479E-3</v>
      </c>
      <c r="AB27" s="34">
        <f>THG!AB27/THG!AB$6</f>
        <v>2.2289985947235571E-3</v>
      </c>
      <c r="AC27" s="34">
        <f>THG!AC27/THG!AC$6</f>
        <v>2.3044391240398397E-3</v>
      </c>
      <c r="AD27" s="34">
        <f>THG!AD27/THG!AD$6</f>
        <v>2.3239727364214821E-3</v>
      </c>
      <c r="AE27" s="34">
        <f>THG!AE27/THG!AE$6</f>
        <v>2.2922478326182914E-3</v>
      </c>
      <c r="AF27" s="34">
        <f>THG!AF27/THG!AF$6</f>
        <v>2.3620602807107685E-3</v>
      </c>
      <c r="AG27" s="34">
        <f>THG!AG27/THG!AG$6</f>
        <v>2.6011330190241176E-3</v>
      </c>
      <c r="AH27" s="34">
        <f>THG!AH27/THG!AH$6</f>
        <v>1.2689137934643524E-3</v>
      </c>
      <c r="AI27" s="34">
        <f>THG!AI27/THG!AI$6</f>
        <v>9.4294009520686818E-4</v>
      </c>
      <c r="AJ27" s="34">
        <f>THG!AJ27/THG!AJ$6</f>
        <v>1.3922898353434805E-3</v>
      </c>
      <c r="AK27" s="34">
        <f>THG!AK27/THG!AK$6</f>
        <v>1.6273906768515781E-3</v>
      </c>
      <c r="AL27" s="34">
        <f>THG!AL27/THG!AL$6</f>
        <v>1.7013407783733813E-3</v>
      </c>
    </row>
    <row r="28" spans="2:38" s="150" customFormat="1" ht="18.75" customHeight="1">
      <c r="B28" s="90" t="s">
        <v>5</v>
      </c>
      <c r="C28" s="160" t="s">
        <v>3</v>
      </c>
      <c r="D28" s="92">
        <f>THG!D28/THG!D$6</f>
        <v>0.12362370758838116</v>
      </c>
      <c r="E28" s="92">
        <f>THG!E28/THG!E$6</f>
        <v>0.13121215728379476</v>
      </c>
      <c r="F28" s="92">
        <f>THG!F28/THG!F$6</f>
        <v>0.14185362268926471</v>
      </c>
      <c r="G28" s="92">
        <f>THG!G28/THG!G$6</f>
        <v>0.14685295368809068</v>
      </c>
      <c r="H28" s="92">
        <f>THG!H28/THG!H$6</f>
        <v>0.14589593177581017</v>
      </c>
      <c r="I28" s="92">
        <f>THG!I28/THG!I$6</f>
        <v>0.15044273462944582</v>
      </c>
      <c r="J28" s="92">
        <f>THG!J28/THG!J$6</f>
        <v>0.14813007312227638</v>
      </c>
      <c r="K28" s="92">
        <f>THG!K28/THG!K$6</f>
        <v>0.15366950463146709</v>
      </c>
      <c r="L28" s="92">
        <f>THG!L28/THG!L$6</f>
        <v>0.16035715856983962</v>
      </c>
      <c r="M28" s="92">
        <f>THG!M28/THG!M$6</f>
        <v>0.17078022970871273</v>
      </c>
      <c r="N28" s="92">
        <f>THG!N28/THG!N$6</f>
        <v>0.16740948624813135</v>
      </c>
      <c r="O28" s="92">
        <f>THG!O28/THG!O$6</f>
        <v>0.16167763196439316</v>
      </c>
      <c r="P28" s="92">
        <f>THG!P28/THG!P$6</f>
        <v>0.16294321654441138</v>
      </c>
      <c r="Q28" s="92">
        <f>THG!Q28/THG!Q$6</f>
        <v>0.1552574501205207</v>
      </c>
      <c r="R28" s="92">
        <f>THG!R28/THG!R$6</f>
        <v>0.15331881453998689</v>
      </c>
      <c r="S28" s="92">
        <f>THG!S28/THG!S$6</f>
        <v>0.15126231643562649</v>
      </c>
      <c r="T28" s="92">
        <f>THG!T28/THG!T$6</f>
        <v>0.15400182157583078</v>
      </c>
      <c r="U28" s="92">
        <f>THG!U28/THG!U$6</f>
        <v>0.15248302839250519</v>
      </c>
      <c r="V28" s="92">
        <f>THG!V28/THG!V$6</f>
        <v>0.15606627759791694</v>
      </c>
      <c r="W28" s="92">
        <f>THG!W28/THG!W$6</f>
        <v>0.16269353237730738</v>
      </c>
      <c r="X28" s="92">
        <f>THG!X28/THG!X$6</f>
        <v>0.15598310666825124</v>
      </c>
      <c r="Y28" s="92">
        <f>THG!Y28/THG!Y$6</f>
        <v>0.16218634304131238</v>
      </c>
      <c r="Z28" s="92">
        <f>THG!Z28/THG!Z$6</f>
        <v>0.15872004979759427</v>
      </c>
      <c r="AA28" s="92">
        <f>THG!AA28/THG!AA$6</f>
        <v>0.16036849082007118</v>
      </c>
      <c r="AB28" s="92">
        <f>THG!AB28/THG!AB$6</f>
        <v>0.16676511345221715</v>
      </c>
      <c r="AC28" s="92">
        <f>THG!AC28/THG!AC$6</f>
        <v>0.17375155035760326</v>
      </c>
      <c r="AD28" s="92">
        <f>THG!AD28/THG!AD$6</f>
        <v>0.17703539765701504</v>
      </c>
      <c r="AE28" s="92">
        <f>THG!AE28/THG!AE$6</f>
        <v>0.18188484564489166</v>
      </c>
      <c r="AF28" s="92">
        <f>THG!AF28/THG!AF$6</f>
        <v>0.18850254471762154</v>
      </c>
      <c r="AG28" s="92">
        <f>THG!AG28/THG!AG$6</f>
        <v>0.19992520806911226</v>
      </c>
      <c r="AH28" s="92">
        <f>THG!AH28/THG!AH$6</f>
        <v>0.19493393263535408</v>
      </c>
      <c r="AI28" s="92">
        <f>THG!AI28/THG!AI$6</f>
        <v>0.18573726528886911</v>
      </c>
      <c r="AJ28" s="92">
        <f>THG!AJ28/THG!AJ$6</f>
        <v>0.19294969632449424</v>
      </c>
      <c r="AK28" s="92">
        <f>THG!AK28/THG!AK$6</f>
        <v>0.21109864034581174</v>
      </c>
      <c r="AL28" s="92">
        <f>THG!AL28/THG!AL$6</f>
        <v>0.21532749239006274</v>
      </c>
    </row>
    <row r="29" spans="2:38" s="150" customFormat="1" ht="18.75" customHeight="1">
      <c r="B29" s="19" t="s">
        <v>6</v>
      </c>
      <c r="C29" s="159" t="s">
        <v>3</v>
      </c>
      <c r="D29" s="34">
        <f>THG!D29/THG!D$6</f>
        <v>2.5228581722151959E-3</v>
      </c>
      <c r="E29" s="34">
        <f>THG!E29/THG!E$6</f>
        <v>2.3357748453428587E-3</v>
      </c>
      <c r="F29" s="34">
        <f>THG!F29/THG!F$6</f>
        <v>2.3905173882491373E-3</v>
      </c>
      <c r="G29" s="34">
        <f>THG!G29/THG!G$6</f>
        <v>2.3988000820219192E-3</v>
      </c>
      <c r="H29" s="34">
        <f>THG!H29/THG!H$6</f>
        <v>2.2670670923520689E-3</v>
      </c>
      <c r="I29" s="34">
        <f>THG!I29/THG!I$6</f>
        <v>2.2062033706198914E-3</v>
      </c>
      <c r="J29" s="34">
        <f>THG!J29/THG!J$6</f>
        <v>2.0650543541119045E-3</v>
      </c>
      <c r="K29" s="34">
        <f>THG!K29/THG!K$6</f>
        <v>1.9677545344032794E-3</v>
      </c>
      <c r="L29" s="34">
        <f>THG!L29/THG!L$6</f>
        <v>1.9004334096465716E-3</v>
      </c>
      <c r="M29" s="34">
        <f>THG!M29/THG!M$6</f>
        <v>1.8541769093063812E-3</v>
      </c>
      <c r="N29" s="34">
        <f>THG!N29/THG!N$6</f>
        <v>1.8745460530095112E-3</v>
      </c>
      <c r="O29" s="34">
        <f>THG!O29/THG!O$6</f>
        <v>1.6946048653525348E-3</v>
      </c>
      <c r="P29" s="34">
        <f>THG!P29/THG!P$6</f>
        <v>1.6025052675391971E-3</v>
      </c>
      <c r="Q29" s="34">
        <f>THG!Q29/THG!Q$6</f>
        <v>1.5853949197937708E-3</v>
      </c>
      <c r="R29" s="34">
        <f>THG!R29/THG!R$6</f>
        <v>1.5325378295512795E-3</v>
      </c>
      <c r="S29" s="34">
        <f>THG!S29/THG!S$6</f>
        <v>1.4445119174218209E-3</v>
      </c>
      <c r="T29" s="34">
        <f>THG!T29/THG!T$6</f>
        <v>1.2879385665092666E-3</v>
      </c>
      <c r="U29" s="34">
        <f>THG!U29/THG!U$6</f>
        <v>1.2972291319533196E-3</v>
      </c>
      <c r="V29" s="34">
        <f>THG!V29/THG!V$6</f>
        <v>1.2525192778849201E-3</v>
      </c>
      <c r="W29" s="34">
        <f>THG!W29/THG!W$6</f>
        <v>1.2191149446544602E-3</v>
      </c>
      <c r="X29" s="34">
        <f>THG!X29/THG!X$6</f>
        <v>1.204886818854939E-3</v>
      </c>
      <c r="Y29" s="34">
        <f>THG!Y29/THG!Y$6</f>
        <v>1.248605057713775E-3</v>
      </c>
      <c r="Z29" s="34">
        <f>THG!Z29/THG!Z$6</f>
        <v>1.1365772486339532E-3</v>
      </c>
      <c r="AA29" s="34">
        <f>THG!AA29/THG!AA$6</f>
        <v>1.1350938241200465E-3</v>
      </c>
      <c r="AB29" s="34">
        <f>THG!AB29/THG!AB$6</f>
        <v>1.0614548682601726E-3</v>
      </c>
      <c r="AC29" s="34">
        <f>THG!AC29/THG!AC$6</f>
        <v>1.1360474398287533E-3</v>
      </c>
      <c r="AD29" s="34">
        <f>THG!AD29/THG!AD$6</f>
        <v>1.180565708273462E-3</v>
      </c>
      <c r="AE29" s="34">
        <f>THG!AE29/THG!AE$6</f>
        <v>9.9615174357271623E-4</v>
      </c>
      <c r="AF29" s="34">
        <f>THG!AF29/THG!AF$6</f>
        <v>8.6279442980212765E-4</v>
      </c>
      <c r="AG29" s="34">
        <f>THG!AG29/THG!AG$6</f>
        <v>1.0452103172986543E-3</v>
      </c>
      <c r="AH29" s="34">
        <f>THG!AH29/THG!AH$6</f>
        <v>1.1358591400095494E-3</v>
      </c>
      <c r="AI29" s="34">
        <f>THG!AI29/THG!AI$6</f>
        <v>1.1236015520211184E-3</v>
      </c>
      <c r="AJ29" s="34">
        <f>THG!AJ29/THG!AJ$6</f>
        <v>1.0840135052044412E-3</v>
      </c>
      <c r="AK29" s="34">
        <f>THG!AK29/THG!AK$6</f>
        <v>1.1588932161449388E-3</v>
      </c>
      <c r="AL29" s="34">
        <f>THG!AL29/THG!AL$6</f>
        <v>1.1670099694065209E-3</v>
      </c>
    </row>
    <row r="30" spans="2:38" s="150" customFormat="1" ht="18.75" customHeight="1">
      <c r="B30" s="90" t="s">
        <v>7</v>
      </c>
      <c r="C30" s="160" t="s">
        <v>3</v>
      </c>
      <c r="D30" s="92">
        <f>THG!D30/THG!D$6</f>
        <v>2.4234302569816246E-3</v>
      </c>
      <c r="E30" s="92">
        <f>THG!E30/THG!E$6</f>
        <v>2.4181184786955289E-3</v>
      </c>
      <c r="F30" s="92">
        <f>THG!F30/THG!F$6</f>
        <v>2.5746138597992369E-3</v>
      </c>
      <c r="G30" s="92">
        <f>THG!G30/THG!G$6</f>
        <v>2.5817788111476658E-3</v>
      </c>
      <c r="H30" s="92">
        <f>THG!H30/THG!H$6</f>
        <v>2.5753931850702474E-3</v>
      </c>
      <c r="I30" s="92">
        <f>THG!I30/THG!I$6</f>
        <v>2.1869521246586313E-3</v>
      </c>
      <c r="J30" s="92">
        <f>THG!J30/THG!J$6</f>
        <v>1.9959383462295312E-3</v>
      </c>
      <c r="K30" s="92">
        <f>THG!K30/THG!K$6</f>
        <v>1.7615527703598549E-3</v>
      </c>
      <c r="L30" s="92">
        <f>THG!L30/THG!L$6</f>
        <v>1.8214344163166637E-3</v>
      </c>
      <c r="M30" s="92">
        <f>THG!M30/THG!M$6</f>
        <v>1.6528141321706074E-3</v>
      </c>
      <c r="N30" s="92">
        <f>THG!N30/THG!N$6</f>
        <v>1.5745637532818568E-3</v>
      </c>
      <c r="O30" s="92">
        <f>THG!O30/THG!O$6</f>
        <v>1.5406823240519895E-3</v>
      </c>
      <c r="P30" s="92">
        <f>THG!P30/THG!P$6</f>
        <v>1.5023315525914513E-3</v>
      </c>
      <c r="Q30" s="92">
        <f>THG!Q30/THG!Q$6</f>
        <v>1.8492311413970193E-3</v>
      </c>
      <c r="R30" s="92">
        <f>THG!R30/THG!R$6</f>
        <v>2.0033825879335119E-3</v>
      </c>
      <c r="S30" s="92">
        <f>THG!S30/THG!S$6</f>
        <v>2.1583117970586634E-3</v>
      </c>
      <c r="T30" s="92">
        <f>THG!T30/THG!T$6</f>
        <v>2.1372277974115168E-3</v>
      </c>
      <c r="U30" s="92">
        <f>THG!U30/THG!U$6</f>
        <v>2.019086089012394E-3</v>
      </c>
      <c r="V30" s="92">
        <f>THG!V30/THG!V$6</f>
        <v>2.2343596102211839E-3</v>
      </c>
      <c r="W30" s="92">
        <f>THG!W30/THG!W$6</f>
        <v>2.0014557582149245E-3</v>
      </c>
      <c r="X30" s="92">
        <f>THG!X30/THG!X$6</f>
        <v>2.100058856990948E-3</v>
      </c>
      <c r="Y30" s="92">
        <f>THG!Y30/THG!Y$6</f>
        <v>2.0068364554462204E-3</v>
      </c>
      <c r="Z30" s="92">
        <f>THG!Z30/THG!Z$6</f>
        <v>2.0432876977897261E-3</v>
      </c>
      <c r="AA30" s="92">
        <f>THG!AA30/THG!AA$6</f>
        <v>2.002261224239688E-3</v>
      </c>
      <c r="AB30" s="92">
        <f>THG!AB30/THG!AB$6</f>
        <v>2.1260627666797841E-3</v>
      </c>
      <c r="AC30" s="92">
        <f>THG!AC30/THG!AC$6</f>
        <v>2.0899143525400172E-3</v>
      </c>
      <c r="AD30" s="92">
        <f>THG!AD30/THG!AD$6</f>
        <v>2.0145650298528635E-3</v>
      </c>
      <c r="AE30" s="92">
        <f>THG!AE30/THG!AE$6</f>
        <v>2.0523502033569733E-3</v>
      </c>
      <c r="AF30" s="92">
        <f>THG!AF30/THG!AF$6</f>
        <v>2.1859477766864219E-3</v>
      </c>
      <c r="AG30" s="92">
        <f>THG!AG30/THG!AG$6</f>
        <v>2.3358119327191633E-3</v>
      </c>
      <c r="AH30" s="92">
        <f>THG!AH30/THG!AH$6</f>
        <v>2.3708065772796655E-3</v>
      </c>
      <c r="AI30" s="92">
        <f>THG!AI30/THG!AI$6</f>
        <v>2.1015635024415331E-3</v>
      </c>
      <c r="AJ30" s="92">
        <f>THG!AJ30/THG!AJ$6</f>
        <v>1.8126656394929492E-3</v>
      </c>
      <c r="AK30" s="92">
        <f>THG!AK30/THG!AK$6</f>
        <v>2.0775300672414045E-3</v>
      </c>
      <c r="AL30" s="92">
        <f>THG!AL30/THG!AL$6</f>
        <v>2.2076076135902852E-3</v>
      </c>
    </row>
    <row r="31" spans="2:38" s="150" customFormat="1" ht="18.75" customHeight="1">
      <c r="B31" s="19"/>
      <c r="C31" s="159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2:38" s="10" customFormat="1" ht="18.75" customHeight="1">
      <c r="B32" s="153" t="s">
        <v>15</v>
      </c>
      <c r="C32" s="22" t="s">
        <v>3</v>
      </c>
      <c r="D32" s="31">
        <f>THG!D32/THG!D$6</f>
        <v>6.7861178381681223E-2</v>
      </c>
      <c r="E32" s="31">
        <f>THG!E32/THG!E$6</f>
        <v>6.3332325202675357E-2</v>
      </c>
      <c r="F32" s="31">
        <f>THG!F32/THG!F$6</f>
        <v>6.4124187637264574E-2</v>
      </c>
      <c r="G32" s="31">
        <f>THG!G32/THG!G$6</f>
        <v>6.4235467563313386E-2</v>
      </c>
      <c r="H32" s="31">
        <f>THG!H32/THG!H$6</f>
        <v>6.5249053511765381E-2</v>
      </c>
      <c r="I32" s="31">
        <f>THG!I32/THG!I$6</f>
        <v>6.5976121630960324E-2</v>
      </c>
      <c r="J32" s="31">
        <f>THG!J32/THG!J$6</f>
        <v>6.6422030679173127E-2</v>
      </c>
      <c r="K32" s="31">
        <f>THG!K32/THG!K$6</f>
        <v>6.6430187288916198E-2</v>
      </c>
      <c r="L32" s="31">
        <f>THG!L32/THG!L$6</f>
        <v>6.7394256176685222E-2</v>
      </c>
      <c r="M32" s="31">
        <f>THG!M32/THG!M$6</f>
        <v>7.0174014125111997E-2</v>
      </c>
      <c r="N32" s="31">
        <f>THG!N32/THG!N$6</f>
        <v>6.9033726106250831E-2</v>
      </c>
      <c r="O32" s="31">
        <f>THG!O32/THG!O$6</f>
        <v>6.8764238687689369E-2</v>
      </c>
      <c r="P32" s="31">
        <f>THG!P32/THG!P$6</f>
        <v>6.7938380991470385E-2</v>
      </c>
      <c r="Q32" s="31">
        <f>THG!Q32/THG!Q$6</f>
        <v>6.8116082174406734E-2</v>
      </c>
      <c r="R32" s="31">
        <f>THG!R32/THG!R$6</f>
        <v>6.8016481576506388E-2</v>
      </c>
      <c r="S32" s="31">
        <f>THG!S32/THG!S$6</f>
        <v>6.8747459292557989E-2</v>
      </c>
      <c r="T32" s="31">
        <f>THG!T32/THG!T$6</f>
        <v>6.720755947219452E-2</v>
      </c>
      <c r="U32" s="31">
        <f>THG!U32/THG!U$6</f>
        <v>6.9718259101864466E-2</v>
      </c>
      <c r="V32" s="31">
        <f>THG!V32/THG!V$6</f>
        <v>7.0014721201835911E-2</v>
      </c>
      <c r="W32" s="31">
        <f>THG!W32/THG!W$6</f>
        <v>7.5146955576582894E-2</v>
      </c>
      <c r="X32" s="31">
        <f>THG!X32/THG!X$6</f>
        <v>7.3076855975958019E-2</v>
      </c>
      <c r="Y32" s="31">
        <f>THG!Y32/THG!Y$6</f>
        <v>7.5609565093126899E-2</v>
      </c>
      <c r="Z32" s="31">
        <f>THG!Z32/THG!Z$6</f>
        <v>7.4999475753330103E-2</v>
      </c>
      <c r="AA32" s="31">
        <f>THG!AA32/THG!AA$6</f>
        <v>7.4688409102397768E-2</v>
      </c>
      <c r="AB32" s="31">
        <f>THG!AB32/THG!AB$6</f>
        <v>7.9827930095463712E-2</v>
      </c>
      <c r="AC32" s="31">
        <f>THG!AC32/THG!AC$6</f>
        <v>7.8864367257189094E-2</v>
      </c>
      <c r="AD32" s="31">
        <f>THG!AD32/THG!AD$6</f>
        <v>7.9024661166089402E-2</v>
      </c>
      <c r="AE32" s="31">
        <f>THG!AE32/THG!AE$6</f>
        <v>7.85678042450728E-2</v>
      </c>
      <c r="AF32" s="31">
        <f>THG!AF32/THG!AF$6</f>
        <v>8.0224134189176108E-2</v>
      </c>
      <c r="AG32" s="31">
        <f>THG!AG32/THG!AG$6</f>
        <v>8.4230863892681945E-2</v>
      </c>
      <c r="AH32" s="31">
        <f>THG!AH32/THG!AH$6</f>
        <v>9.0552173305110784E-2</v>
      </c>
      <c r="AI32" s="31">
        <f>THG!AI32/THG!AI$6</f>
        <v>8.5249275862033319E-2</v>
      </c>
      <c r="AJ32" s="31">
        <f>THG!AJ32/THG!AJ$6</f>
        <v>8.5340069736452154E-2</v>
      </c>
      <c r="AK32" s="31">
        <f>THG!AK32/THG!AK$6</f>
        <v>9.3687622815510505E-2</v>
      </c>
      <c r="AL32" s="31">
        <f>THG!AL32/THG!AL$6</f>
        <v>9.5693960374830259E-2</v>
      </c>
    </row>
    <row r="33" spans="2:38" s="150" customFormat="1" ht="18.75" customHeight="1">
      <c r="B33" s="19" t="s">
        <v>18</v>
      </c>
      <c r="C33" s="159" t="s">
        <v>3</v>
      </c>
      <c r="D33" s="34">
        <f>THG!D33/THG!D$6</f>
        <v>9.3411323681070087E-3</v>
      </c>
      <c r="E33" s="34">
        <f>THG!E33/THG!E$6</f>
        <v>8.2057975087659017E-3</v>
      </c>
      <c r="F33" s="34">
        <f>THG!F33/THG!F$6</f>
        <v>8.0563667758597555E-3</v>
      </c>
      <c r="G33" s="34">
        <f>THG!G33/THG!G$6</f>
        <v>8.4919667730412127E-3</v>
      </c>
      <c r="H33" s="34">
        <f>THG!H33/THG!H$6</f>
        <v>8.5831959274019331E-3</v>
      </c>
      <c r="I33" s="34">
        <f>THG!I33/THG!I$6</f>
        <v>8.8759187283412241E-3</v>
      </c>
      <c r="J33" s="34">
        <f>THG!J33/THG!J$6</f>
        <v>9.6710971002389109E-3</v>
      </c>
      <c r="K33" s="34">
        <f>THG!K33/THG!K$6</f>
        <v>8.9169042487669409E-3</v>
      </c>
      <c r="L33" s="34">
        <f>THG!L33/THG!L$6</f>
        <v>8.6442615054384674E-3</v>
      </c>
      <c r="M33" s="34">
        <f>THG!M33/THG!M$6</f>
        <v>9.0295614455156731E-3</v>
      </c>
      <c r="N33" s="34">
        <f>THG!N33/THG!N$6</f>
        <v>8.2116782369956159E-3</v>
      </c>
      <c r="O33" s="34">
        <f>THG!O33/THG!O$6</f>
        <v>8.3270155400475433E-3</v>
      </c>
      <c r="P33" s="34">
        <f>THG!P33/THG!P$6</f>
        <v>8.2028336262874157E-3</v>
      </c>
      <c r="Q33" s="34">
        <f>THG!Q33/THG!Q$6</f>
        <v>7.9126908375762688E-3</v>
      </c>
      <c r="R33" s="34">
        <f>THG!R33/THG!R$6</f>
        <v>7.866607315371572E-3</v>
      </c>
      <c r="S33" s="34">
        <f>THG!S33/THG!S$6</f>
        <v>7.7181832977639732E-3</v>
      </c>
      <c r="T33" s="34">
        <f>THG!T33/THG!T$6</f>
        <v>7.9387174913538219E-3</v>
      </c>
      <c r="U33" s="34">
        <f>THG!U33/THG!U$6</f>
        <v>7.5469539630333669E-3</v>
      </c>
      <c r="V33" s="34">
        <f>THG!V33/THG!V$6</f>
        <v>7.9839068147956466E-3</v>
      </c>
      <c r="W33" s="34">
        <f>THG!W33/THG!W$6</f>
        <v>8.0688025859439582E-3</v>
      </c>
      <c r="X33" s="34">
        <f>THG!X33/THG!X$6</f>
        <v>8.3790002651851579E-3</v>
      </c>
      <c r="Y33" s="34">
        <f>THG!Y33/THG!Y$6</f>
        <v>9.1844426927154329E-3</v>
      </c>
      <c r="Z33" s="34">
        <f>THG!Z33/THG!Z$6</f>
        <v>8.6805650591258842E-3</v>
      </c>
      <c r="AA33" s="34">
        <f>THG!AA33/THG!AA$6</f>
        <v>8.5904290174578408E-3</v>
      </c>
      <c r="AB33" s="34">
        <f>THG!AB33/THG!AB$6</f>
        <v>9.5626690239405832E-3</v>
      </c>
      <c r="AC33" s="34">
        <f>THG!AC33/THG!AC$6</f>
        <v>9.2182942897287047E-3</v>
      </c>
      <c r="AD33" s="34">
        <f>THG!AD33/THG!AD$6</f>
        <v>9.4077347453215207E-3</v>
      </c>
      <c r="AE33" s="34">
        <f>THG!AE33/THG!AE$6</f>
        <v>8.9367943522649148E-3</v>
      </c>
      <c r="AF33" s="34">
        <f>THG!AF33/THG!AF$6</f>
        <v>9.2840012684716981E-3</v>
      </c>
      <c r="AG33" s="34">
        <f>THG!AG33/THG!AG$6</f>
        <v>9.8369705770461405E-3</v>
      </c>
      <c r="AH33" s="34">
        <f>THG!AH33/THG!AH$6</f>
        <v>1.1083274850643842E-2</v>
      </c>
      <c r="AI33" s="34">
        <f>THG!AI33/THG!AI$6</f>
        <v>1.1023703828879673E-2</v>
      </c>
      <c r="AJ33" s="34">
        <f>THG!AJ33/THG!AJ$6</f>
        <v>1.1014516171975242E-2</v>
      </c>
      <c r="AK33" s="34">
        <f>THG!AK33/THG!AK$6</f>
        <v>1.2154227729010557E-2</v>
      </c>
      <c r="AL33" s="34">
        <f>THG!AL33/THG!AL$6</f>
        <v>1.2996495818020929E-2</v>
      </c>
    </row>
    <row r="34" spans="2:38" s="150" customFormat="1" ht="18.75" customHeight="1">
      <c r="B34" s="90" t="s">
        <v>30</v>
      </c>
      <c r="C34" s="160" t="s">
        <v>3</v>
      </c>
      <c r="D34" s="92">
        <f>THG!D34/THG!D$6</f>
        <v>2.9786006143310839E-2</v>
      </c>
      <c r="E34" s="92">
        <f>THG!E34/THG!E$6</f>
        <v>2.7622376343600989E-2</v>
      </c>
      <c r="F34" s="92">
        <f>THG!F34/THG!F$6</f>
        <v>2.8121135012090265E-2</v>
      </c>
      <c r="G34" s="92">
        <f>THG!G34/THG!G$6</f>
        <v>2.8418075523717824E-2</v>
      </c>
      <c r="H34" s="92">
        <f>THG!H34/THG!H$6</f>
        <v>2.9060428611470963E-2</v>
      </c>
      <c r="I34" s="92">
        <f>THG!I34/THG!I$6</f>
        <v>2.9329439341944572E-2</v>
      </c>
      <c r="J34" s="92">
        <f>THG!J34/THG!J$6</f>
        <v>2.8929794859899306E-2</v>
      </c>
      <c r="K34" s="92">
        <f>THG!K34/THG!K$6</f>
        <v>2.8996756632735984E-2</v>
      </c>
      <c r="L34" s="92">
        <f>THG!L34/THG!L$6</f>
        <v>2.9463149283378336E-2</v>
      </c>
      <c r="M34" s="92">
        <f>THG!M34/THG!M$6</f>
        <v>3.0169983381895461E-2</v>
      </c>
      <c r="N34" s="92">
        <f>THG!N34/THG!N$6</f>
        <v>2.9765771400471465E-2</v>
      </c>
      <c r="O34" s="92">
        <f>THG!O34/THG!O$6</f>
        <v>2.9812564586968179E-2</v>
      </c>
      <c r="P34" s="92">
        <f>THG!P34/THG!P$6</f>
        <v>2.9267050677492135E-2</v>
      </c>
      <c r="Q34" s="92">
        <f>THG!Q34/THG!Q$6</f>
        <v>2.9159690182415314E-2</v>
      </c>
      <c r="R34" s="92">
        <f>THG!R34/THG!R$6</f>
        <v>2.9024215390350404E-2</v>
      </c>
      <c r="S34" s="92">
        <f>THG!S34/THG!S$6</f>
        <v>2.9223299684331721E-2</v>
      </c>
      <c r="T34" s="92">
        <f>THG!T34/THG!T$6</f>
        <v>2.8264687681617006E-2</v>
      </c>
      <c r="U34" s="92">
        <f>THG!U34/THG!U$6</f>
        <v>2.9569869837630398E-2</v>
      </c>
      <c r="V34" s="92">
        <f>THG!V34/THG!V$6</f>
        <v>2.9561499249178957E-2</v>
      </c>
      <c r="W34" s="92">
        <f>THG!W34/THG!W$6</f>
        <v>3.1824403062735131E-2</v>
      </c>
      <c r="X34" s="92">
        <f>THG!X34/THG!X$6</f>
        <v>3.0671837180771395E-2</v>
      </c>
      <c r="Y34" s="92">
        <f>THG!Y34/THG!Y$6</f>
        <v>3.1052005648808841E-2</v>
      </c>
      <c r="Z34" s="92">
        <f>THG!Z34/THG!Z$6</f>
        <v>3.0712496816905393E-2</v>
      </c>
      <c r="AA34" s="92">
        <f>THG!AA34/THG!AA$6</f>
        <v>3.052249252419157E-2</v>
      </c>
      <c r="AB34" s="92">
        <f>THG!AB34/THG!AB$6</f>
        <v>3.2166884508521496E-2</v>
      </c>
      <c r="AC34" s="92">
        <f>THG!AC34/THG!AC$6</f>
        <v>3.1848096350406294E-2</v>
      </c>
      <c r="AD34" s="92">
        <f>THG!AD34/THG!AD$6</f>
        <v>3.1688853812261504E-2</v>
      </c>
      <c r="AE34" s="92">
        <f>THG!AE34/THG!AE$6</f>
        <v>3.1981998502067441E-2</v>
      </c>
      <c r="AF34" s="92">
        <f>THG!AF34/THG!AF$6</f>
        <v>3.2584719689832495E-2</v>
      </c>
      <c r="AG34" s="92">
        <f>THG!AG34/THG!AG$6</f>
        <v>3.4430096256447121E-2</v>
      </c>
      <c r="AH34" s="92">
        <f>THG!AH34/THG!AH$6</f>
        <v>3.6920550508035818E-2</v>
      </c>
      <c r="AI34" s="92">
        <f>THG!AI34/THG!AI$6</f>
        <v>3.4866367947578449E-2</v>
      </c>
      <c r="AJ34" s="92">
        <f>THG!AJ34/THG!AJ$6</f>
        <v>3.5130814086256436E-2</v>
      </c>
      <c r="AK34" s="92">
        <f>THG!AK34/THG!AK$6</f>
        <v>3.8956312123166352E-2</v>
      </c>
      <c r="AL34" s="92">
        <f>THG!AL34/THG!AL$6</f>
        <v>3.9167198469685249E-2</v>
      </c>
    </row>
    <row r="35" spans="2:38" s="150" customFormat="1" ht="18.75" customHeight="1">
      <c r="B35" s="19" t="s">
        <v>31</v>
      </c>
      <c r="C35" s="159" t="s">
        <v>3</v>
      </c>
      <c r="D35" s="34">
        <f>THG!D35/THG!D$6</f>
        <v>1.0362611505193884E-2</v>
      </c>
      <c r="E35" s="34">
        <f>THG!E35/THG!E$6</f>
        <v>9.6072032999505799E-3</v>
      </c>
      <c r="F35" s="34">
        <f>THG!F35/THG!F$6</f>
        <v>1.0032805019562588E-2</v>
      </c>
      <c r="G35" s="34">
        <f>THG!G35/THG!G$6</f>
        <v>1.0178046769032962E-2</v>
      </c>
      <c r="H35" s="34">
        <f>THG!H35/THG!H$6</f>
        <v>1.0361256200305992E-2</v>
      </c>
      <c r="I35" s="34">
        <f>THG!I35/THG!I$6</f>
        <v>1.0442172960117692E-2</v>
      </c>
      <c r="J35" s="34">
        <f>THG!J35/THG!J$6</f>
        <v>1.0392081498341888E-2</v>
      </c>
      <c r="K35" s="34">
        <f>THG!K35/THG!K$6</f>
        <v>1.0551274107633025E-2</v>
      </c>
      <c r="L35" s="34">
        <f>THG!L35/THG!L$6</f>
        <v>1.0937799614064318E-2</v>
      </c>
      <c r="M35" s="34">
        <f>THG!M35/THG!M$6</f>
        <v>1.1187233423201869E-2</v>
      </c>
      <c r="N35" s="34">
        <f>THG!N35/THG!N$6</f>
        <v>1.117593377459297E-2</v>
      </c>
      <c r="O35" s="34">
        <f>THG!O35/THG!O$6</f>
        <v>1.1189512125291045E-2</v>
      </c>
      <c r="P35" s="34">
        <f>THG!P35/THG!P$6</f>
        <v>1.1167856623622349E-2</v>
      </c>
      <c r="Q35" s="34">
        <f>THG!Q35/THG!Q$6</f>
        <v>1.1298001364273905E-2</v>
      </c>
      <c r="R35" s="34">
        <f>THG!R35/THG!R$6</f>
        <v>1.1225653207428422E-2</v>
      </c>
      <c r="S35" s="34">
        <f>THG!S35/THG!S$6</f>
        <v>1.1300286541881029E-2</v>
      </c>
      <c r="T35" s="34">
        <f>THG!T35/THG!T$6</f>
        <v>1.0928572542030286E-2</v>
      </c>
      <c r="U35" s="34">
        <f>THG!U35/THG!U$6</f>
        <v>1.1434937442229879E-2</v>
      </c>
      <c r="V35" s="34">
        <f>THG!V35/THG!V$6</f>
        <v>1.1251952597734146E-2</v>
      </c>
      <c r="W35" s="34">
        <f>THG!W35/THG!W$6</f>
        <v>1.2066240217009088E-2</v>
      </c>
      <c r="X35" s="34">
        <f>THG!X35/THG!X$6</f>
        <v>1.1281959030356909E-2</v>
      </c>
      <c r="Y35" s="34">
        <f>THG!Y35/THG!Y$6</f>
        <v>1.1458875053881384E-2</v>
      </c>
      <c r="Z35" s="34">
        <f>THG!Z35/THG!Z$6</f>
        <v>1.1436870687355364E-2</v>
      </c>
      <c r="AA35" s="34">
        <f>THG!AA35/THG!AA$6</f>
        <v>1.1278814276752178E-2</v>
      </c>
      <c r="AB35" s="34">
        <f>THG!AB35/THG!AB$6</f>
        <v>1.1926269198472759E-2</v>
      </c>
      <c r="AC35" s="34">
        <f>THG!AC35/THG!AC$6</f>
        <v>1.176075626675049E-2</v>
      </c>
      <c r="AD35" s="34">
        <f>THG!AD35/THG!AD$6</f>
        <v>1.178611889444791E-2</v>
      </c>
      <c r="AE35" s="34">
        <f>THG!AE35/THG!AE$6</f>
        <v>1.1990547799532892E-2</v>
      </c>
      <c r="AF35" s="34">
        <f>THG!AF35/THG!AF$6</f>
        <v>1.2232633284688816E-2</v>
      </c>
      <c r="AG35" s="34">
        <f>THG!AG35/THG!AG$6</f>
        <v>1.3000023784049679E-2</v>
      </c>
      <c r="AH35" s="34">
        <f>THG!AH35/THG!AH$6</f>
        <v>1.3985704654922472E-2</v>
      </c>
      <c r="AI35" s="34">
        <f>THG!AI35/THG!AI$6</f>
        <v>1.2890459147061198E-2</v>
      </c>
      <c r="AJ35" s="34">
        <f>THG!AJ35/THG!AJ$6</f>
        <v>1.252296416271461E-2</v>
      </c>
      <c r="AK35" s="34">
        <f>THG!AK35/THG!AK$6</f>
        <v>1.390977707307417E-2</v>
      </c>
      <c r="AL35" s="34">
        <f>THG!AL35/THG!AL$6</f>
        <v>1.4148874792716348E-2</v>
      </c>
    </row>
    <row r="36" spans="2:38" s="150" customFormat="1" ht="18.75" customHeight="1">
      <c r="B36" s="90" t="s">
        <v>32</v>
      </c>
      <c r="C36" s="160" t="s">
        <v>3</v>
      </c>
      <c r="D36" s="92">
        <f>THG!D36/THG!D$6</f>
        <v>1.5823615665479431E-2</v>
      </c>
      <c r="E36" s="92">
        <f>THG!E36/THG!E$6</f>
        <v>1.5494822794389776E-2</v>
      </c>
      <c r="F36" s="92">
        <f>THG!F36/THG!F$6</f>
        <v>1.5643743028427758E-2</v>
      </c>
      <c r="G36" s="92">
        <f>THG!G36/THG!G$6</f>
        <v>1.5139963719428972E-2</v>
      </c>
      <c r="H36" s="92">
        <f>THG!H36/THG!H$6</f>
        <v>1.5316534473989427E-2</v>
      </c>
      <c r="I36" s="92">
        <f>THG!I36/THG!I$6</f>
        <v>1.5428639551823475E-2</v>
      </c>
      <c r="J36" s="92">
        <f>THG!J36/THG!J$6</f>
        <v>1.5442716554563279E-2</v>
      </c>
      <c r="K36" s="92">
        <f>THG!K36/THG!K$6</f>
        <v>1.5822230580712554E-2</v>
      </c>
      <c r="L36" s="92">
        <f>THG!L36/THG!L$6</f>
        <v>1.602516878456833E-2</v>
      </c>
      <c r="M36" s="92">
        <f>THG!M36/THG!M$6</f>
        <v>1.7230384181917763E-2</v>
      </c>
      <c r="N36" s="92">
        <f>THG!N36/THG!N$6</f>
        <v>1.7290101641861011E-2</v>
      </c>
      <c r="O36" s="92">
        <f>THG!O36/THG!O$6</f>
        <v>1.6853479267191811E-2</v>
      </c>
      <c r="P36" s="92">
        <f>THG!P36/THG!P$6</f>
        <v>1.6747525852176835E-2</v>
      </c>
      <c r="Q36" s="92">
        <f>THG!Q36/THG!Q$6</f>
        <v>1.7176566224454667E-2</v>
      </c>
      <c r="R36" s="92">
        <f>THG!R36/THG!R$6</f>
        <v>1.7343535880689313E-2</v>
      </c>
      <c r="S36" s="92">
        <f>THG!S36/THG!S$6</f>
        <v>1.7735107198002871E-2</v>
      </c>
      <c r="T36" s="92">
        <f>THG!T36/THG!T$6</f>
        <v>1.7229658389697634E-2</v>
      </c>
      <c r="U36" s="92">
        <f>THG!U36/THG!U$6</f>
        <v>1.797673744429306E-2</v>
      </c>
      <c r="V36" s="92">
        <f>THG!V36/THG!V$6</f>
        <v>1.7867847294994271E-2</v>
      </c>
      <c r="W36" s="92">
        <f>THG!W36/THG!W$6</f>
        <v>1.9415437631042233E-2</v>
      </c>
      <c r="X36" s="92">
        <f>THG!X36/THG!X$6</f>
        <v>1.8808039420633103E-2</v>
      </c>
      <c r="Y36" s="92">
        <f>THG!Y36/THG!Y$6</f>
        <v>1.9619064903911004E-2</v>
      </c>
      <c r="Z36" s="92">
        <f>THG!Z36/THG!Z$6</f>
        <v>1.9763393716926429E-2</v>
      </c>
      <c r="AA36" s="92">
        <f>THG!AA36/THG!AA$6</f>
        <v>1.9566953499294711E-2</v>
      </c>
      <c r="AB36" s="92">
        <f>THG!AB36/THG!AB$6</f>
        <v>2.0980677186496904E-2</v>
      </c>
      <c r="AC36" s="92">
        <f>THG!AC36/THG!AC$6</f>
        <v>2.0817624080838711E-2</v>
      </c>
      <c r="AD36" s="92">
        <f>THG!AD36/THG!AD$6</f>
        <v>2.093855720525405E-2</v>
      </c>
      <c r="AE36" s="92">
        <f>THG!AE36/THG!AE$6</f>
        <v>2.0482184282512923E-2</v>
      </c>
      <c r="AF36" s="92">
        <f>THG!AF36/THG!AF$6</f>
        <v>2.0841072550877238E-2</v>
      </c>
      <c r="AG36" s="92">
        <f>THG!AG36/THG!AG$6</f>
        <v>2.1530940281529787E-2</v>
      </c>
      <c r="AH36" s="92">
        <f>THG!AH36/THG!AH$6</f>
        <v>2.2802244745954638E-2</v>
      </c>
      <c r="AI36" s="92">
        <f>THG!AI36/THG!AI$6</f>
        <v>2.112002112252203E-2</v>
      </c>
      <c r="AJ36" s="92">
        <f>THG!AJ36/THG!AJ$6</f>
        <v>2.1121842723962319E-2</v>
      </c>
      <c r="AK36" s="92">
        <f>THG!AK36/THG!AK$6</f>
        <v>2.2565565564470116E-2</v>
      </c>
      <c r="AL36" s="92">
        <f>THG!AL36/THG!AL$6</f>
        <v>2.3302350281552878E-2</v>
      </c>
    </row>
    <row r="37" spans="2:38" s="150" customFormat="1" ht="18.75" customHeight="1">
      <c r="B37" s="19" t="s">
        <v>33</v>
      </c>
      <c r="C37" s="159" t="s">
        <v>3</v>
      </c>
      <c r="D37" s="34">
        <f>THG!D37/THG!D$6</f>
        <v>1.756638335072627E-3</v>
      </c>
      <c r="E37" s="34">
        <f>THG!E37/THG!E$6</f>
        <v>1.6464691439126958E-3</v>
      </c>
      <c r="F37" s="34">
        <f>THG!F37/THG!F$6</f>
        <v>1.5115403535762466E-3</v>
      </c>
      <c r="G37" s="34">
        <f>THG!G37/THG!G$6</f>
        <v>1.2764266032348579E-3</v>
      </c>
      <c r="H37" s="34">
        <f>THG!H37/THG!H$6</f>
        <v>1.172674741690991E-3</v>
      </c>
      <c r="I37" s="34">
        <f>THG!I37/THG!I$6</f>
        <v>1.1398890745769673E-3</v>
      </c>
      <c r="J37" s="34">
        <f>THG!J37/THG!J$6</f>
        <v>1.2107765568710378E-3</v>
      </c>
      <c r="K37" s="34">
        <f>THG!K37/THG!K$6</f>
        <v>1.3403767962242991E-3</v>
      </c>
      <c r="L37" s="34">
        <f>THG!L37/THG!L$6</f>
        <v>1.4717205471413046E-3</v>
      </c>
      <c r="M37" s="34">
        <f>THG!M37/THG!M$6</f>
        <v>1.6408287558482629E-3</v>
      </c>
      <c r="N37" s="34">
        <f>THG!N37/THG!N$6</f>
        <v>1.6265129227215453E-3</v>
      </c>
      <c r="O37" s="34">
        <f>THG!O37/THG!O$6</f>
        <v>1.6031750260049418E-3</v>
      </c>
      <c r="P37" s="34">
        <f>THG!P37/THG!P$6</f>
        <v>1.5380456068678197E-3</v>
      </c>
      <c r="Q37" s="34">
        <f>THG!Q37/THG!Q$6</f>
        <v>1.5274361980076798E-3</v>
      </c>
      <c r="R37" s="34">
        <f>THG!R37/THG!R$6</f>
        <v>1.477586957790389E-3</v>
      </c>
      <c r="S37" s="34">
        <f>THG!S37/THG!S$6</f>
        <v>1.4423049165292405E-3</v>
      </c>
      <c r="T37" s="34">
        <f>THG!T37/THG!T$6</f>
        <v>1.4338123547207881E-3</v>
      </c>
      <c r="U37" s="34">
        <f>THG!U37/THG!U$6</f>
        <v>1.5339086061044859E-3</v>
      </c>
      <c r="V37" s="34">
        <f>THG!V37/THG!V$6</f>
        <v>1.5907894571745595E-3</v>
      </c>
      <c r="W37" s="34">
        <f>THG!W37/THG!W$6</f>
        <v>1.6868365365140595E-3</v>
      </c>
      <c r="X37" s="34">
        <f>THG!X37/THG!X$6</f>
        <v>1.6651449939699883E-3</v>
      </c>
      <c r="Y37" s="34">
        <f>THG!Y37/THG!Y$6</f>
        <v>1.7571436325830414E-3</v>
      </c>
      <c r="Z37" s="34">
        <f>THG!Z37/THG!Z$6</f>
        <v>1.8452451547768627E-3</v>
      </c>
      <c r="AA37" s="34">
        <f>THG!AA37/THG!AA$6</f>
        <v>1.9534878290001037E-3</v>
      </c>
      <c r="AB37" s="34">
        <f>THG!AB37/THG!AB$6</f>
        <v>2.1456629266473591E-3</v>
      </c>
      <c r="AC37" s="34">
        <f>THG!AC37/THG!AC$6</f>
        <v>2.1132557379918205E-3</v>
      </c>
      <c r="AD37" s="34">
        <f>THG!AD37/THG!AD$6</f>
        <v>2.0971780741396886E-3</v>
      </c>
      <c r="AE37" s="34">
        <f>THG!AE37/THG!AE$6</f>
        <v>2.1962831364884068E-3</v>
      </c>
      <c r="AF37" s="34">
        <f>THG!AF37/THG!AF$6</f>
        <v>2.4006782492507297E-3</v>
      </c>
      <c r="AG37" s="34">
        <f>THG!AG37/THG!AG$6</f>
        <v>2.5547811859998634E-3</v>
      </c>
      <c r="AH37" s="34">
        <f>THG!AH37/THG!AH$6</f>
        <v>2.7418756202901478E-3</v>
      </c>
      <c r="AI37" s="34">
        <f>THG!AI37/THG!AI$6</f>
        <v>2.6038155828285825E-3</v>
      </c>
      <c r="AJ37" s="34">
        <f>THG!AJ37/THG!AJ$6</f>
        <v>2.6637822516732928E-3</v>
      </c>
      <c r="AK37" s="34">
        <f>THG!AK37/THG!AK$6</f>
        <v>2.9167721466964972E-3</v>
      </c>
      <c r="AL37" s="34">
        <f>THG!AL37/THG!AL$6</f>
        <v>2.8256242647565779E-3</v>
      </c>
    </row>
    <row r="38" spans="2:38" s="150" customFormat="1" ht="18.75" customHeight="1">
      <c r="B38" s="90" t="s">
        <v>34</v>
      </c>
      <c r="C38" s="160" t="s">
        <v>3</v>
      </c>
      <c r="D38" s="92">
        <f>THG!D38/THG!D$6</f>
        <v>3.8326300025825068E-4</v>
      </c>
      <c r="E38" s="92">
        <f>THG!E38/THG!E$6</f>
        <v>3.6225713999202047E-4</v>
      </c>
      <c r="F38" s="92">
        <f>THG!F38/THG!F$6</f>
        <v>3.6951769255212831E-4</v>
      </c>
      <c r="G38" s="92">
        <f>THG!G38/THG!G$6</f>
        <v>3.6774049528579119E-4</v>
      </c>
      <c r="H38" s="92">
        <f>THG!H38/THG!H$6</f>
        <v>3.970911028401011E-4</v>
      </c>
      <c r="I38" s="92">
        <f>THG!I38/THG!I$6</f>
        <v>4.0842322223757149E-4</v>
      </c>
      <c r="J38" s="92">
        <f>THG!J38/THG!J$6</f>
        <v>4.2522649911099311E-4</v>
      </c>
      <c r="K38" s="92">
        <f>THG!K38/THG!K$6</f>
        <v>4.5081382661246153E-4</v>
      </c>
      <c r="L38" s="92">
        <f>THG!L38/THG!L$6</f>
        <v>4.8565423661803107E-4</v>
      </c>
      <c r="M38" s="92">
        <f>THG!M38/THG!M$6</f>
        <v>5.2771848039584435E-4</v>
      </c>
      <c r="N38" s="92">
        <f>THG!N38/THG!N$6</f>
        <v>5.6903334828312092E-4</v>
      </c>
      <c r="O38" s="92">
        <f>THG!O38/THG!O$6</f>
        <v>5.882248682872761E-4</v>
      </c>
      <c r="P38" s="92">
        <f>THG!P38/THG!P$6</f>
        <v>6.1821871059711947E-4</v>
      </c>
      <c r="Q38" s="92">
        <f>THG!Q38/THG!Q$6</f>
        <v>6.3318629472567658E-4</v>
      </c>
      <c r="R38" s="92">
        <f>THG!R38/THG!R$6</f>
        <v>6.3221902825164934E-4</v>
      </c>
      <c r="S38" s="92">
        <f>THG!S38/THG!S$6</f>
        <v>6.47737193289705E-4</v>
      </c>
      <c r="T38" s="92">
        <f>THG!T38/THG!T$6</f>
        <v>6.2887820805220267E-4</v>
      </c>
      <c r="U38" s="92">
        <f>THG!U38/THG!U$6</f>
        <v>6.724504321445607E-4</v>
      </c>
      <c r="V38" s="92">
        <f>THG!V38/THG!V$6</f>
        <v>7.1534828012018061E-4</v>
      </c>
      <c r="W38" s="92">
        <f>THG!W38/THG!W$6</f>
        <v>7.5006560284403582E-4</v>
      </c>
      <c r="X38" s="92">
        <f>THG!X38/THG!X$6</f>
        <v>7.6404580341762169E-4</v>
      </c>
      <c r="Y38" s="92">
        <f>THG!Y38/THG!Y$6</f>
        <v>7.2130084040080257E-4</v>
      </c>
      <c r="Z38" s="92">
        <f>THG!Z38/THG!Z$6</f>
        <v>7.5235329831414258E-4</v>
      </c>
      <c r="AA38" s="92">
        <f>THG!AA38/THG!AA$6</f>
        <v>7.2008630196620073E-4</v>
      </c>
      <c r="AB38" s="92">
        <f>THG!AB38/THG!AB$6</f>
        <v>8.3901900344310017E-4</v>
      </c>
      <c r="AC38" s="92">
        <f>THG!AC38/THG!AC$6</f>
        <v>8.7765827239746897E-4</v>
      </c>
      <c r="AD38" s="92">
        <f>THG!AD38/THG!AD$6</f>
        <v>9.084517667564229E-4</v>
      </c>
      <c r="AE38" s="92">
        <f>THG!AE38/THG!AE$6</f>
        <v>8.1562052539048185E-4</v>
      </c>
      <c r="AF38" s="92">
        <f>THG!AF38/THG!AF$6</f>
        <v>7.0967312253611631E-4</v>
      </c>
      <c r="AG38" s="92">
        <f>THG!AG38/THG!AG$6</f>
        <v>6.2370701313092835E-4</v>
      </c>
      <c r="AH38" s="92">
        <f>THG!AH38/THG!AH$6</f>
        <v>5.9109047259972959E-4</v>
      </c>
      <c r="AI38" s="92">
        <f>THG!AI38/THG!AI$6</f>
        <v>5.2177857408766215E-4</v>
      </c>
      <c r="AJ38" s="92">
        <f>THG!AJ38/THG!AJ$6</f>
        <v>4.9012133658906808E-4</v>
      </c>
      <c r="AK38" s="92">
        <f>THG!AK38/THG!AK$6</f>
        <v>5.3582261901992021E-4</v>
      </c>
      <c r="AL38" s="92">
        <f>THG!AL38/THG!AL$6</f>
        <v>5.0874578480041368E-4</v>
      </c>
    </row>
    <row r="39" spans="2:38" s="150" customFormat="1" ht="18.75" customHeight="1">
      <c r="B39" s="19" t="s">
        <v>35</v>
      </c>
      <c r="C39" s="159" t="s">
        <v>3</v>
      </c>
      <c r="D39" s="34">
        <f>THG!D39/THG!D$6</f>
        <v>4.0757558557618181E-4</v>
      </c>
      <c r="E39" s="34">
        <f>THG!E39/THG!E$6</f>
        <v>3.9255628932520595E-4</v>
      </c>
      <c r="F39" s="34">
        <f>THG!F39/THG!F$6</f>
        <v>3.8789618455253383E-4</v>
      </c>
      <c r="G39" s="34">
        <f>THG!G39/THG!G$6</f>
        <v>3.6169854007114853E-4</v>
      </c>
      <c r="H39" s="34">
        <f>THG!H39/THG!H$6</f>
        <v>3.5593967320746882E-4</v>
      </c>
      <c r="I39" s="34">
        <f>THG!I39/THG!I$6</f>
        <v>3.4692962459832288E-4</v>
      </c>
      <c r="J39" s="34">
        <f>THG!J39/THG!J$6</f>
        <v>3.4264347133346537E-4</v>
      </c>
      <c r="K39" s="34">
        <f>THG!K39/THG!K$6</f>
        <v>3.4181511918197124E-4</v>
      </c>
      <c r="L39" s="34">
        <f>THG!L39/THG!L$6</f>
        <v>3.4341421728529187E-4</v>
      </c>
      <c r="M39" s="34">
        <f>THG!M39/THG!M$6</f>
        <v>3.6126396271874951E-4</v>
      </c>
      <c r="N39" s="34">
        <f>THG!N39/THG!N$6</f>
        <v>3.5173345820939947E-4</v>
      </c>
      <c r="O39" s="34">
        <f>THG!O39/THG!O$6</f>
        <v>3.3024776975649296E-4</v>
      </c>
      <c r="P39" s="34">
        <f>THG!P39/THG!P$6</f>
        <v>3.0893563504870761E-4</v>
      </c>
      <c r="Q39" s="34">
        <f>THG!Q39/THG!Q$6</f>
        <v>3.0404330329725064E-4</v>
      </c>
      <c r="R39" s="34">
        <f>THG!R39/THG!R$6</f>
        <v>3.0875625127155834E-4</v>
      </c>
      <c r="S39" s="34">
        <f>THG!S39/THG!S$6</f>
        <v>3.107184959315078E-4</v>
      </c>
      <c r="T39" s="34">
        <f>THG!T39/THG!T$6</f>
        <v>2.8483054274688305E-4</v>
      </c>
      <c r="U39" s="34">
        <f>THG!U39/THG!U$6</f>
        <v>2.9378654465659552E-4</v>
      </c>
      <c r="V39" s="34">
        <f>THG!V39/THG!V$6</f>
        <v>2.6850446532892608E-4</v>
      </c>
      <c r="W39" s="34">
        <f>THG!W39/THG!W$6</f>
        <v>2.9622065899690921E-4</v>
      </c>
      <c r="X39" s="34">
        <f>THG!X39/THG!X$6</f>
        <v>2.7652428979424882E-4</v>
      </c>
      <c r="Y39" s="34">
        <f>THG!Y39/THG!Y$6</f>
        <v>2.9126796706190983E-4</v>
      </c>
      <c r="Z39" s="34">
        <f>THG!Z39/THG!Z$6</f>
        <v>2.7689747465586563E-4</v>
      </c>
      <c r="AA39" s="34">
        <f>THG!AA39/THG!AA$6</f>
        <v>2.572713754490758E-4</v>
      </c>
      <c r="AB39" s="34">
        <f>THG!AB39/THG!AB$6</f>
        <v>2.6436447306693058E-4</v>
      </c>
      <c r="AC39" s="34">
        <f>THG!AC39/THG!AC$6</f>
        <v>2.5578393745052713E-4</v>
      </c>
      <c r="AD39" s="34">
        <f>THG!AD39/THG!AD$6</f>
        <v>2.5155346423278352E-4</v>
      </c>
      <c r="AE39" s="34">
        <f>THG!AE39/THG!AE$6</f>
        <v>2.4147416218795977E-4</v>
      </c>
      <c r="AF39" s="34">
        <f>THG!AF39/THG!AF$6</f>
        <v>2.3768158118062004E-4</v>
      </c>
      <c r="AG39" s="34">
        <f>THG!AG39/THG!AG$6</f>
        <v>2.4336537527565685E-4</v>
      </c>
      <c r="AH39" s="34">
        <f>THG!AH39/THG!AH$6</f>
        <v>2.5301625349823678E-4</v>
      </c>
      <c r="AI39" s="34">
        <f>THG!AI39/THG!AI$6</f>
        <v>2.3055015645257515E-4</v>
      </c>
      <c r="AJ39" s="34">
        <f>THG!AJ39/THG!AJ$6</f>
        <v>2.1031409284157502E-4</v>
      </c>
      <c r="AK39" s="34">
        <f>THG!AK39/THG!AK$6</f>
        <v>2.1373201854418353E-4</v>
      </c>
      <c r="AL39" s="34">
        <f>THG!AL39/THG!AL$6</f>
        <v>2.2310010817489962E-4</v>
      </c>
    </row>
    <row r="40" spans="2:38" s="150" customFormat="1" ht="18.75" customHeight="1">
      <c r="B40" s="90" t="s">
        <v>36</v>
      </c>
      <c r="C40" s="160" t="s">
        <v>3</v>
      </c>
      <c r="D40" s="92">
        <f>THG!D40/THG!D$6</f>
        <v>3.3577868300784569E-7</v>
      </c>
      <c r="E40" s="92">
        <f>THG!E40/THG!E$6</f>
        <v>8.4268273818775253E-7</v>
      </c>
      <c r="F40" s="92">
        <f>THG!F40/THG!F$6</f>
        <v>1.1835706432990243E-6</v>
      </c>
      <c r="G40" s="92">
        <f>THG!G40/THG!G$6</f>
        <v>1.5491395006239552E-6</v>
      </c>
      <c r="H40" s="92">
        <f>THG!H40/THG!H$6</f>
        <v>1.9327808585158627E-6</v>
      </c>
      <c r="I40" s="92">
        <f>THG!I40/THG!I$6</f>
        <v>4.7091273205070572E-6</v>
      </c>
      <c r="J40" s="92">
        <f>THG!J40/THG!J$6</f>
        <v>7.6941388142402873E-6</v>
      </c>
      <c r="K40" s="92">
        <f>THG!K40/THG!K$6</f>
        <v>1.0015977048957307E-5</v>
      </c>
      <c r="L40" s="92">
        <f>THG!L40/THG!L$6</f>
        <v>2.3087988191154967E-5</v>
      </c>
      <c r="M40" s="92">
        <f>THG!M40/THG!M$6</f>
        <v>2.7040493618385494E-5</v>
      </c>
      <c r="N40" s="92">
        <f>THG!N40/THG!N$6</f>
        <v>4.2961323115696272E-5</v>
      </c>
      <c r="O40" s="92">
        <f>THG!O40/THG!O$6</f>
        <v>6.0019504142076381E-5</v>
      </c>
      <c r="P40" s="92">
        <f>THG!P40/THG!P$6</f>
        <v>8.791425937800059E-5</v>
      </c>
      <c r="Q40" s="92">
        <f>THG!Q40/THG!Q$6</f>
        <v>1.0446776965594378E-4</v>
      </c>
      <c r="R40" s="92">
        <f>THG!R40/THG!R$6</f>
        <v>1.3790754535306996E-4</v>
      </c>
      <c r="S40" s="92">
        <f>THG!S40/THG!S$6</f>
        <v>3.6982196482794296E-4</v>
      </c>
      <c r="T40" s="92">
        <f>THG!T40/THG!T$6</f>
        <v>4.9840226197590321E-4</v>
      </c>
      <c r="U40" s="92">
        <f>THG!U40/THG!U$6</f>
        <v>6.8961483177211078E-4</v>
      </c>
      <c r="V40" s="92">
        <f>THG!V40/THG!V$6</f>
        <v>7.748730425092532E-4</v>
      </c>
      <c r="W40" s="92">
        <f>THG!W40/THG!W$6</f>
        <v>1.0389492814974685E-3</v>
      </c>
      <c r="X40" s="92">
        <f>THG!X40/THG!X$6</f>
        <v>1.2303049918295961E-3</v>
      </c>
      <c r="Y40" s="92">
        <f>THG!Y40/THG!Y$6</f>
        <v>1.5254643537644808E-3</v>
      </c>
      <c r="Z40" s="92">
        <f>THG!Z40/THG!Z$6</f>
        <v>1.5316535452701665E-3</v>
      </c>
      <c r="AA40" s="92">
        <f>THG!AA40/THG!AA$6</f>
        <v>1.7988742782860947E-3</v>
      </c>
      <c r="AB40" s="92">
        <f>THG!AB40/THG!AB$6</f>
        <v>1.9423837748745976E-3</v>
      </c>
      <c r="AC40" s="92">
        <f>THG!AC40/THG!AC$6</f>
        <v>1.9728983216250611E-3</v>
      </c>
      <c r="AD40" s="92">
        <f>THG!AD40/THG!AD$6</f>
        <v>1.9462132036755237E-3</v>
      </c>
      <c r="AE40" s="92">
        <f>THG!AE40/THG!AE$6</f>
        <v>1.9229014846277946E-3</v>
      </c>
      <c r="AF40" s="92">
        <f>THG!AF40/THG!AF$6</f>
        <v>1.9336744423383908E-3</v>
      </c>
      <c r="AG40" s="92">
        <f>THG!AG40/THG!AG$6</f>
        <v>2.010979419202758E-3</v>
      </c>
      <c r="AH40" s="92">
        <f>THG!AH40/THG!AH$6</f>
        <v>2.1744161991659001E-3</v>
      </c>
      <c r="AI40" s="92">
        <f>THG!AI40/THG!AI$6</f>
        <v>1.9925795026231492E-3</v>
      </c>
      <c r="AJ40" s="92">
        <f>THG!AJ40/THG!AJ$6</f>
        <v>2.1857149104396096E-3</v>
      </c>
      <c r="AK40" s="92">
        <f>THG!AK40/THG!AK$6</f>
        <v>2.4354135415287173E-3</v>
      </c>
      <c r="AL40" s="92">
        <f>THG!AL40/THG!AL$6</f>
        <v>2.5215708551229775E-3</v>
      </c>
    </row>
    <row r="41" spans="2:38" s="150" customFormat="1" ht="18.75" customHeight="1">
      <c r="B41" s="19"/>
      <c r="C41" s="159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</row>
    <row r="42" spans="2:38" s="10" customFormat="1" ht="18.75" customHeight="1">
      <c r="B42" s="153" t="s">
        <v>16</v>
      </c>
      <c r="C42" s="22" t="s">
        <v>3</v>
      </c>
      <c r="D42" s="31">
        <f>THG!D42/THG!D$6</f>
        <v>3.3176538267642199E-2</v>
      </c>
      <c r="E42" s="31">
        <f>THG!E42/THG!E$6</f>
        <v>3.5718174285046429E-2</v>
      </c>
      <c r="F42" s="31">
        <f>THG!F42/THG!F$6</f>
        <v>3.7759501293252791E-2</v>
      </c>
      <c r="G42" s="31">
        <f>THG!G42/THG!G$6</f>
        <v>3.7816828584006291E-2</v>
      </c>
      <c r="H42" s="31">
        <f>THG!H42/THG!H$6</f>
        <v>3.7473514980119915E-2</v>
      </c>
      <c r="I42" s="31">
        <f>THG!I42/THG!I$6</f>
        <v>3.6577000307020165E-2</v>
      </c>
      <c r="J42" s="31">
        <f>THG!J42/THG!J$6</f>
        <v>3.4446149965529686E-2</v>
      </c>
      <c r="K42" s="31">
        <f>THG!K42/THG!K$6</f>
        <v>3.2569426366163862E-2</v>
      </c>
      <c r="L42" s="31">
        <f>THG!L42/THG!L$6</f>
        <v>3.0980580089483217E-2</v>
      </c>
      <c r="M42" s="31">
        <f>THG!M42/THG!M$6</f>
        <v>3.0087891398891616E-2</v>
      </c>
      <c r="N42" s="31">
        <f>THG!N42/THG!N$6</f>
        <v>2.8371031437935724E-2</v>
      </c>
      <c r="O42" s="31">
        <f>THG!O42/THG!O$6</f>
        <v>2.6086298907521024E-2</v>
      </c>
      <c r="P42" s="31">
        <f>THG!P42/THG!P$6</f>
        <v>2.4970169791454399E-2</v>
      </c>
      <c r="Q42" s="31">
        <f>THG!Q42/THG!Q$6</f>
        <v>2.3436201243914004E-2</v>
      </c>
      <c r="R42" s="31">
        <f>THG!R42/THG!R$6</f>
        <v>2.1418413966105304E-2</v>
      </c>
      <c r="S42" s="31">
        <f>THG!S42/THG!S$6</f>
        <v>2.0036144648525288E-2</v>
      </c>
      <c r="T42" s="31">
        <f>THG!T42/THG!T$6</f>
        <v>1.7700475756700945E-2</v>
      </c>
      <c r="U42" s="31">
        <f>THG!U42/THG!U$6</f>
        <v>1.6860847571843588E-2</v>
      </c>
      <c r="V42" s="31">
        <f>THG!V42/THG!V$6</f>
        <v>1.5281898226240194E-2</v>
      </c>
      <c r="W42" s="31">
        <f>THG!W42/THG!W$6</f>
        <v>1.4901984937488087E-2</v>
      </c>
      <c r="X42" s="31">
        <f>THG!X42/THG!X$6</f>
        <v>1.3106104898484176E-2</v>
      </c>
      <c r="Y42" s="31">
        <f>THG!Y42/THG!Y$6</f>
        <v>1.2472563449628053E-2</v>
      </c>
      <c r="Z42" s="31">
        <f>THG!Z42/THG!Z$6</f>
        <v>1.1432372433268591E-2</v>
      </c>
      <c r="AA42" s="31">
        <f>THG!AA42/THG!AA$6</f>
        <v>1.0372458992670848E-2</v>
      </c>
      <c r="AB42" s="31">
        <f>THG!AB42/THG!AB$6</f>
        <v>1.0141937993530326E-2</v>
      </c>
      <c r="AC42" s="31">
        <f>THG!AC42/THG!AC$6</f>
        <v>9.3626447289694784E-3</v>
      </c>
      <c r="AD42" s="31">
        <f>THG!AD42/THG!AD$6</f>
        <v>8.8091923895970183E-3</v>
      </c>
      <c r="AE42" s="31">
        <f>THG!AE42/THG!AE$6</f>
        <v>8.5304393736694781E-3</v>
      </c>
      <c r="AF42" s="31">
        <f>THG!AF42/THG!AF$6</f>
        <v>8.3616175282486063E-3</v>
      </c>
      <c r="AG42" s="31">
        <f>THG!AG42/THG!AG$6</f>
        <v>8.2781026210586896E-3</v>
      </c>
      <c r="AH42" s="31">
        <f>THG!AH42/THG!AH$6</f>
        <v>8.3512947405519674E-3</v>
      </c>
      <c r="AI42" s="31">
        <f>THG!AI42/THG!AI$6</f>
        <v>7.7688838837140332E-3</v>
      </c>
      <c r="AJ42" s="31">
        <f>THG!AJ42/THG!AJ$6</f>
        <v>7.5449637892885174E-3</v>
      </c>
      <c r="AK42" s="31">
        <f>THG!AK42/THG!AK$6</f>
        <v>8.1694304286738725E-3</v>
      </c>
      <c r="AL42" s="31">
        <f>THG!AL42/THG!AL$6</f>
        <v>8.2511863430601001E-3</v>
      </c>
    </row>
    <row r="43" spans="2:38" s="150" customFormat="1" ht="18.75" customHeight="1">
      <c r="B43" s="19" t="s">
        <v>19</v>
      </c>
      <c r="C43" s="159" t="s">
        <v>3</v>
      </c>
      <c r="D43" s="34">
        <f>THG!D43/THG!D$6</f>
        <v>2.9696048428270443E-2</v>
      </c>
      <c r="E43" s="34">
        <f>THG!E43/THG!E$6</f>
        <v>3.2590386550077691E-2</v>
      </c>
      <c r="F43" s="34">
        <f>THG!F43/THG!F$6</f>
        <v>3.4801664916025335E-2</v>
      </c>
      <c r="G43" s="34">
        <f>THG!G43/THG!G$6</f>
        <v>3.4980078618909963E-2</v>
      </c>
      <c r="H43" s="34">
        <f>THG!H43/THG!H$6</f>
        <v>3.4712479155033907E-2</v>
      </c>
      <c r="I43" s="34">
        <f>THG!I43/THG!I$6</f>
        <v>3.3720044193407968E-2</v>
      </c>
      <c r="J43" s="34">
        <f>THG!J43/THG!J$6</f>
        <v>3.1630864820900328E-2</v>
      </c>
      <c r="K43" s="34">
        <f>THG!K43/THG!K$6</f>
        <v>2.9696689918713895E-2</v>
      </c>
      <c r="L43" s="34">
        <f>THG!L43/THG!L$6</f>
        <v>2.8070757718488378E-2</v>
      </c>
      <c r="M43" s="34">
        <f>THG!M43/THG!M$6</f>
        <v>2.7012556868111881E-2</v>
      </c>
      <c r="N43" s="34">
        <f>THG!N43/THG!N$6</f>
        <v>2.5204235760761272E-2</v>
      </c>
      <c r="O43" s="34">
        <f>THG!O43/THG!O$6</f>
        <v>2.2953965517459009E-2</v>
      </c>
      <c r="P43" s="34">
        <f>THG!P43/THG!P$6</f>
        <v>2.1677292355760363E-2</v>
      </c>
      <c r="Q43" s="34">
        <f>THG!Q43/THG!Q$6</f>
        <v>2.0130441306171747E-2</v>
      </c>
      <c r="R43" s="34">
        <f>THG!R43/THG!R$6</f>
        <v>1.8034068176146861E-2</v>
      </c>
      <c r="S43" s="34">
        <f>THG!S43/THG!S$6</f>
        <v>1.6530125343756846E-2</v>
      </c>
      <c r="T43" s="34">
        <f>THG!T43/THG!T$6</f>
        <v>1.4463936102234964E-2</v>
      </c>
      <c r="U43" s="34">
        <f>THG!U43/THG!U$6</f>
        <v>1.3467964076118624E-2</v>
      </c>
      <c r="V43" s="34">
        <f>THG!V43/THG!V$6</f>
        <v>1.1960028732555606E-2</v>
      </c>
      <c r="W43" s="34">
        <f>THG!W43/THG!W$6</f>
        <v>1.1340778013050366E-2</v>
      </c>
      <c r="X43" s="34">
        <f>THG!X43/THG!X$6</f>
        <v>9.6911472013784597E-3</v>
      </c>
      <c r="Y43" s="34">
        <f>THG!Y43/THG!Y$6</f>
        <v>8.8973366806234955E-3</v>
      </c>
      <c r="Z43" s="34">
        <f>THG!Z43/THG!Z$6</f>
        <v>7.8879631438785076E-3</v>
      </c>
      <c r="AA43" s="34">
        <f>THG!AA43/THG!AA$6</f>
        <v>6.9286354089163329E-3</v>
      </c>
      <c r="AB43" s="34">
        <f>THG!AB43/THG!AB$6</f>
        <v>6.4871795998065881E-3</v>
      </c>
      <c r="AC43" s="34">
        <f>THG!AC43/THG!AC$6</f>
        <v>5.7570351824262813E-3</v>
      </c>
      <c r="AD43" s="34">
        <f>THG!AD43/THG!AD$6</f>
        <v>5.1902934332716776E-3</v>
      </c>
      <c r="AE43" s="34">
        <f>THG!AE43/THG!AE$6</f>
        <v>4.8560239702976626E-3</v>
      </c>
      <c r="AF43" s="34">
        <f>THG!AF43/THG!AF$6</f>
        <v>4.6251338660166109E-3</v>
      </c>
      <c r="AG43" s="34">
        <f>THG!AG43/THG!AG$6</f>
        <v>4.2938817959862997E-3</v>
      </c>
      <c r="AH43" s="34">
        <f>THG!AH43/THG!AH$6</f>
        <v>4.0561023282664086E-3</v>
      </c>
      <c r="AI43" s="34">
        <f>THG!AI43/THG!AI$6</f>
        <v>3.5269419972873395E-3</v>
      </c>
      <c r="AJ43" s="34">
        <f>THG!AJ43/THG!AJ$6</f>
        <v>3.2477623732646427E-3</v>
      </c>
      <c r="AK43" s="34">
        <f>THG!AK43/THG!AK$6</f>
        <v>3.3408656227447348E-3</v>
      </c>
      <c r="AL43" s="34">
        <f>THG!AL43/THG!AL$6</f>
        <v>3.1930488413162146E-3</v>
      </c>
    </row>
    <row r="44" spans="2:38" s="150" customFormat="1" ht="18.75" customHeight="1">
      <c r="B44" s="90" t="s">
        <v>74</v>
      </c>
      <c r="C44" s="160" t="s">
        <v>3</v>
      </c>
      <c r="D44" s="92">
        <f>THG!D44/THG!D$6</f>
        <v>6.3127150308152542E-5</v>
      </c>
      <c r="E44" s="92">
        <f>THG!E44/THG!E$6</f>
        <v>7.8240685198232296E-5</v>
      </c>
      <c r="F44" s="92">
        <f>THG!F44/THG!F$6</f>
        <v>9.4847015696010472E-5</v>
      </c>
      <c r="G44" s="92">
        <f>THG!G44/THG!G$6</f>
        <v>1.0896903192137557E-4</v>
      </c>
      <c r="H44" s="92">
        <f>THG!H44/THG!H$6</f>
        <v>1.7474361274794612E-4</v>
      </c>
      <c r="I44" s="92">
        <f>THG!I44/THG!I$6</f>
        <v>2.4023489839339018E-4</v>
      </c>
      <c r="J44" s="92">
        <f>THG!J44/THG!J$6</f>
        <v>3.0001100069062885E-4</v>
      </c>
      <c r="K44" s="92">
        <f>THG!K44/THG!K$6</f>
        <v>3.4092682195708114E-4</v>
      </c>
      <c r="L44" s="92">
        <f>THG!L44/THG!L$6</f>
        <v>3.8441255308989061E-4</v>
      </c>
      <c r="M44" s="92">
        <f>THG!M44/THG!M$6</f>
        <v>4.6051459673158946E-4</v>
      </c>
      <c r="N44" s="92">
        <f>THG!N44/THG!N$6</f>
        <v>5.3141741909698873E-4</v>
      </c>
      <c r="O44" s="92">
        <f>THG!O44/THG!O$6</f>
        <v>5.3585324525721361E-4</v>
      </c>
      <c r="P44" s="92">
        <f>THG!P44/THG!P$6</f>
        <v>6.5413446202840079E-4</v>
      </c>
      <c r="Q44" s="92">
        <f>THG!Q44/THG!Q$6</f>
        <v>6.6589983539347994E-4</v>
      </c>
      <c r="R44" s="92">
        <f>THG!R44/THG!R$6</f>
        <v>6.9635843344761764E-4</v>
      </c>
      <c r="S44" s="92">
        <f>THG!S44/THG!S$6</f>
        <v>6.9856387338936498E-4</v>
      </c>
      <c r="T44" s="92">
        <f>THG!T44/THG!T$6</f>
        <v>7.02408640004665E-4</v>
      </c>
      <c r="U44" s="92">
        <f>THG!U44/THG!U$6</f>
        <v>7.8305013778151708E-4</v>
      </c>
      <c r="V44" s="92">
        <f>THG!V44/THG!V$6</f>
        <v>7.652914364155352E-4</v>
      </c>
      <c r="W44" s="92">
        <f>THG!W44/THG!W$6</f>
        <v>8.4531700784929581E-4</v>
      </c>
      <c r="X44" s="92">
        <f>THG!X44/THG!X$6</f>
        <v>8.1469831038373411E-4</v>
      </c>
      <c r="Y44" s="92">
        <f>THG!Y44/THG!Y$6</f>
        <v>9.3618284697485996E-4</v>
      </c>
      <c r="Z44" s="92">
        <f>THG!Z44/THG!Z$6</f>
        <v>9.6526493790104369E-4</v>
      </c>
      <c r="AA44" s="92">
        <f>THG!AA44/THG!AA$6</f>
        <v>9.4108775034993731E-4</v>
      </c>
      <c r="AB44" s="92">
        <f>THG!AB44/THG!AB$6</f>
        <v>1.0642802383832475E-3</v>
      </c>
      <c r="AC44" s="92">
        <f>THG!AC44/THG!AC$6</f>
        <v>1.0565590556865405E-3</v>
      </c>
      <c r="AD44" s="92">
        <f>THG!AD44/THG!AD$6</f>
        <v>1.0891921955015103E-3</v>
      </c>
      <c r="AE44" s="92">
        <f>THG!AE44/THG!AE$6</f>
        <v>1.125316580673927E-3</v>
      </c>
      <c r="AF44" s="92">
        <f>THG!AF44/THG!AF$6</f>
        <v>1.1295501370869633E-3</v>
      </c>
      <c r="AG44" s="92">
        <f>THG!AG44/THG!AG$6</f>
        <v>1.2297964136919006E-3</v>
      </c>
      <c r="AH44" s="92">
        <f>THG!AH44/THG!AH$6</f>
        <v>1.3366314422255505E-3</v>
      </c>
      <c r="AI44" s="92">
        <f>THG!AI44/THG!AI$6</f>
        <v>1.3896270266030787E-3</v>
      </c>
      <c r="AJ44" s="92">
        <f>THG!AJ44/THG!AJ$6</f>
        <v>1.4140644367286895E-3</v>
      </c>
      <c r="AK44" s="92">
        <f>THG!AK44/THG!AK$6</f>
        <v>1.6140026858078504E-3</v>
      </c>
      <c r="AL44" s="92">
        <f>THG!AL44/THG!AL$6</f>
        <v>1.7289647815165678E-3</v>
      </c>
    </row>
    <row r="45" spans="2:38" s="150" customFormat="1" ht="18.75" customHeight="1">
      <c r="B45" s="19" t="s">
        <v>20</v>
      </c>
      <c r="C45" s="159" t="s">
        <v>3</v>
      </c>
      <c r="D45" s="34">
        <f>THG!D45/THG!D$6</f>
        <v>3.4173626890636032E-3</v>
      </c>
      <c r="E45" s="34">
        <f>THG!E45/THG!E$6</f>
        <v>3.0495470497705029E-3</v>
      </c>
      <c r="F45" s="34">
        <f>THG!F45/THG!F$6</f>
        <v>2.8629893615314483E-3</v>
      </c>
      <c r="G45" s="34">
        <f>THG!G45/THG!G$6</f>
        <v>2.7277809331749544E-3</v>
      </c>
      <c r="H45" s="34">
        <f>THG!H45/THG!H$6</f>
        <v>2.5862922123380656E-3</v>
      </c>
      <c r="I45" s="34">
        <f>THG!I45/THG!I$6</f>
        <v>2.6074164921021533E-3</v>
      </c>
      <c r="J45" s="34">
        <f>THG!J45/THG!J$6</f>
        <v>2.4962417669957891E-3</v>
      </c>
      <c r="K45" s="34">
        <f>THG!K45/THG!K$6</f>
        <v>2.5012427156918021E-3</v>
      </c>
      <c r="L45" s="34">
        <f>THG!L45/THG!L$6</f>
        <v>2.4822160013969695E-3</v>
      </c>
      <c r="M45" s="34">
        <f>THG!M45/THG!M$6</f>
        <v>2.5571463603621396E-3</v>
      </c>
      <c r="N45" s="34">
        <f>THG!N45/THG!N$6</f>
        <v>2.5576186583726305E-3</v>
      </c>
      <c r="O45" s="34">
        <f>THG!O45/THG!O$6</f>
        <v>2.5110946228834E-3</v>
      </c>
      <c r="P45" s="34">
        <f>THG!P45/THG!P$6</f>
        <v>2.5347386464279914E-3</v>
      </c>
      <c r="Q45" s="34">
        <f>THG!Q45/THG!Q$6</f>
        <v>2.5254982064925333E-3</v>
      </c>
      <c r="R45" s="34">
        <f>THG!R45/THG!R$6</f>
        <v>2.5552156151331371E-3</v>
      </c>
      <c r="S45" s="34">
        <f>THG!S45/THG!S$6</f>
        <v>2.5655858954120787E-3</v>
      </c>
      <c r="T45" s="34">
        <f>THG!T45/THG!T$6</f>
        <v>2.5017658374295246E-3</v>
      </c>
      <c r="U45" s="34">
        <f>THG!U45/THG!U$6</f>
        <v>2.5757368263307767E-3</v>
      </c>
      <c r="V45" s="34">
        <f>THG!V45/THG!V$6</f>
        <v>2.5208723546121313E-3</v>
      </c>
      <c r="W45" s="34">
        <f>THG!W45/THG!W$6</f>
        <v>2.6766382554365953E-3</v>
      </c>
      <c r="X45" s="34">
        <f>THG!X45/THG!X$6</f>
        <v>2.5611424386568805E-3</v>
      </c>
      <c r="Y45" s="34">
        <f>THG!Y45/THG!Y$6</f>
        <v>2.5958180056291657E-3</v>
      </c>
      <c r="Z45" s="34">
        <f>THG!Z45/THG!Z$6</f>
        <v>2.5383988005402386E-3</v>
      </c>
      <c r="AA45" s="34">
        <f>THG!AA45/THG!AA$6</f>
        <v>2.4636553026077274E-3</v>
      </c>
      <c r="AB45" s="34">
        <f>THG!AB45/THG!AB$6</f>
        <v>2.5492300647216954E-3</v>
      </c>
      <c r="AC45" s="34">
        <f>THG!AC45/THG!AC$6</f>
        <v>2.5092446331722541E-3</v>
      </c>
      <c r="AD45" s="34">
        <f>THG!AD45/THG!AD$6</f>
        <v>2.4911630399899742E-3</v>
      </c>
      <c r="AE45" s="34">
        <f>THG!AE45/THG!AE$6</f>
        <v>2.5111375779657613E-3</v>
      </c>
      <c r="AF45" s="34">
        <f>THG!AF45/THG!AF$6</f>
        <v>2.568201021026336E-3</v>
      </c>
      <c r="AG45" s="34">
        <f>THG!AG45/THG!AG$6</f>
        <v>2.7133215388596608E-3</v>
      </c>
      <c r="AH45" s="34">
        <f>THG!AH45/THG!AH$6</f>
        <v>2.914585776814914E-3</v>
      </c>
      <c r="AI45" s="34">
        <f>THG!AI45/THG!AI$6</f>
        <v>2.8109977020612871E-3</v>
      </c>
      <c r="AJ45" s="34">
        <f>THG!AJ45/THG!AJ$6</f>
        <v>2.8429372467246496E-3</v>
      </c>
      <c r="AK45" s="34">
        <f>THG!AK45/THG!AK$6</f>
        <v>3.1717917703997889E-3</v>
      </c>
      <c r="AL45" s="34">
        <f>THG!AL45/THG!AL$6</f>
        <v>3.2869826633226732E-3</v>
      </c>
    </row>
    <row r="46" spans="2:38" s="150" customFormat="1" ht="18.75" customHeight="1">
      <c r="B46" s="90" t="s">
        <v>29</v>
      </c>
      <c r="C46" s="160" t="s">
        <v>3</v>
      </c>
      <c r="D46" s="92">
        <f>THG!D46/THG!D$6</f>
        <v>0</v>
      </c>
      <c r="E46" s="92">
        <f>THG!E46/THG!E$6</f>
        <v>0</v>
      </c>
      <c r="F46" s="92">
        <f>THG!F46/THG!F$6</f>
        <v>0</v>
      </c>
      <c r="G46" s="92">
        <f>THG!G46/THG!G$6</f>
        <v>0</v>
      </c>
      <c r="H46" s="92">
        <f>THG!H46/THG!H$6</f>
        <v>0</v>
      </c>
      <c r="I46" s="92">
        <f>THG!I46/THG!I$6</f>
        <v>9.3047231166609589E-6</v>
      </c>
      <c r="J46" s="92">
        <f>THG!J46/THG!J$6</f>
        <v>1.9032376942939617E-5</v>
      </c>
      <c r="K46" s="92">
        <f>THG!K46/THG!K$6</f>
        <v>3.0566909801079321E-5</v>
      </c>
      <c r="L46" s="92">
        <f>THG!L46/THG!L$6</f>
        <v>4.3193816507982135E-5</v>
      </c>
      <c r="M46" s="92">
        <f>THG!M46/THG!M$6</f>
        <v>5.7673573686003672E-5</v>
      </c>
      <c r="N46" s="92">
        <f>THG!N46/THG!N$6</f>
        <v>7.7759599704831515E-5</v>
      </c>
      <c r="O46" s="92">
        <f>THG!O46/THG!O$6</f>
        <v>8.5385521921400775E-5</v>
      </c>
      <c r="P46" s="92">
        <f>THG!P46/THG!P$6</f>
        <v>1.0400432723764244E-4</v>
      </c>
      <c r="Q46" s="92">
        <f>THG!Q46/THG!Q$6</f>
        <v>1.1436189585624093E-4</v>
      </c>
      <c r="R46" s="92">
        <f>THG!R46/THG!R$6</f>
        <v>1.3277174137768437E-4</v>
      </c>
      <c r="S46" s="92">
        <f>THG!S46/THG!S$6</f>
        <v>2.4186953596699501E-4</v>
      </c>
      <c r="T46" s="92">
        <f>THG!T46/THG!T$6</f>
        <v>3.2365177031789353E-5</v>
      </c>
      <c r="U46" s="92">
        <f>THG!U46/THG!U$6</f>
        <v>3.4096531612670077E-5</v>
      </c>
      <c r="V46" s="92">
        <f>THG!V46/THG!V$6</f>
        <v>3.5705702656919463E-5</v>
      </c>
      <c r="W46" s="92">
        <f>THG!W46/THG!W$6</f>
        <v>3.9251661151829892E-5</v>
      </c>
      <c r="X46" s="92">
        <f>THG!X46/THG!X$6</f>
        <v>3.9116948065101417E-5</v>
      </c>
      <c r="Y46" s="92">
        <f>THG!Y46/THG!Y$6</f>
        <v>4.3225916400531177E-5</v>
      </c>
      <c r="Z46" s="92">
        <f>THG!Z46/THG!Z$6</f>
        <v>4.0745550948799987E-5</v>
      </c>
      <c r="AA46" s="92">
        <f>THG!AA46/THG!AA$6</f>
        <v>3.9080530796850279E-5</v>
      </c>
      <c r="AB46" s="92">
        <f>THG!AB46/THG!AB$6</f>
        <v>4.1248090618794053E-5</v>
      </c>
      <c r="AC46" s="92">
        <f>THG!AC46/THG!AC$6</f>
        <v>3.9805857684402256E-5</v>
      </c>
      <c r="AD46" s="92">
        <f>THG!AD46/THG!AD$6</f>
        <v>3.8543720833856181E-5</v>
      </c>
      <c r="AE46" s="92">
        <f>THG!AE46/THG!AE$6</f>
        <v>3.7961244732127268E-5</v>
      </c>
      <c r="AF46" s="92">
        <f>THG!AF46/THG!AF$6</f>
        <v>3.8732504118695255E-5</v>
      </c>
      <c r="AG46" s="92">
        <f>THG!AG46/THG!AG$6</f>
        <v>4.1102872520828964E-5</v>
      </c>
      <c r="AH46" s="92">
        <f>THG!AH46/THG!AH$6</f>
        <v>4.3975193245093936E-5</v>
      </c>
      <c r="AI46" s="92">
        <f>THG!AI46/THG!AI$6</f>
        <v>4.131715776232907E-5</v>
      </c>
      <c r="AJ46" s="92">
        <f>THG!AJ46/THG!AJ$6</f>
        <v>4.0199732570536207E-5</v>
      </c>
      <c r="AK46" s="92">
        <f>THG!AK46/THG!AK$6</f>
        <v>4.2770349721498321E-5</v>
      </c>
      <c r="AL46" s="92">
        <f>THG!AL46/THG!AL$6</f>
        <v>4.2190056904643643E-5</v>
      </c>
    </row>
    <row r="47" spans="2:38" ht="19.5" customHeight="1">
      <c r="B47" s="7"/>
      <c r="C47" s="16"/>
    </row>
  </sheetData>
  <pageMargins left="0.70866141732283472" right="0.70866141732283472" top="0.78740157480314965" bottom="0.78740157480314965" header="1.1811023622047245" footer="1.1811023622047245"/>
  <pageSetup paperSize="9" scale="21" orientation="portrait" r:id="rId1"/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5F966-5D90-49DE-9432-01BBF20F4DC6}">
  <sheetPr>
    <tabColor theme="5"/>
  </sheetPr>
  <dimension ref="B1:AR18"/>
  <sheetViews>
    <sheetView showGridLines="0" zoomScale="85" zoomScaleNormal="85" zoomScalePageLayoutView="150" workbookViewId="0">
      <pane xSplit="3" ySplit="10" topLeftCell="X11" activePane="bottomRight" state="frozen"/>
      <selection activeCell="B20" sqref="B20"/>
      <selection pane="topRight" activeCell="B20" sqref="B20"/>
      <selection pane="bottomLeft" activeCell="B20" sqref="B20"/>
      <selection pane="bottomRight" activeCell="C1" sqref="C1"/>
    </sheetView>
  </sheetViews>
  <sheetFormatPr baseColWidth="10" defaultColWidth="11.42578125" defaultRowHeight="15" outlineLevelCol="1"/>
  <cols>
    <col min="1" max="1" width="5.42578125" style="88" customWidth="1"/>
    <col min="2" max="2" width="39.7109375" style="88" customWidth="1"/>
    <col min="3" max="3" width="63.85546875" style="17" customWidth="1"/>
    <col min="4" max="23" width="9.42578125" style="88" hidden="1" customWidth="1" outlineLevel="1"/>
    <col min="24" max="24" width="9.42578125" style="88" customWidth="1" collapsed="1"/>
    <col min="25" max="44" width="9.42578125" style="88" customWidth="1"/>
    <col min="45" max="16384" width="11.42578125" style="88"/>
  </cols>
  <sheetData>
    <row r="1" spans="2:44" s="83" customFormat="1" ht="23.25" customHeight="1">
      <c r="B1" s="79" t="s">
        <v>58</v>
      </c>
      <c r="C1" s="95" t="s">
        <v>67</v>
      </c>
      <c r="D1" s="96"/>
      <c r="E1" s="96"/>
      <c r="F1" s="96"/>
      <c r="G1" s="96"/>
      <c r="H1" s="96"/>
      <c r="I1" s="96"/>
      <c r="J1" s="96"/>
      <c r="K1" s="97"/>
      <c r="AK1" s="38"/>
      <c r="AL1" s="84"/>
    </row>
    <row r="2" spans="2:44" s="83" customFormat="1" ht="23.25" customHeight="1">
      <c r="B2" s="79" t="s">
        <v>56</v>
      </c>
      <c r="C2" s="95" t="s">
        <v>124</v>
      </c>
      <c r="D2" s="96"/>
      <c r="E2" s="96"/>
      <c r="F2" s="96"/>
      <c r="G2" s="96"/>
      <c r="H2" s="96"/>
      <c r="I2" s="96"/>
      <c r="J2" s="96"/>
      <c r="K2" s="97"/>
      <c r="AK2" s="38"/>
    </row>
    <row r="3" spans="2:44" s="83" customFormat="1" ht="23.25" customHeight="1">
      <c r="B3" s="79" t="s">
        <v>55</v>
      </c>
      <c r="C3" s="98">
        <f ca="1">TODAY()</f>
        <v>45727</v>
      </c>
      <c r="D3" s="99"/>
      <c r="E3" s="99"/>
      <c r="F3" s="99"/>
      <c r="G3" s="99"/>
      <c r="H3" s="99"/>
      <c r="I3" s="99"/>
      <c r="J3" s="99"/>
      <c r="K3" s="99"/>
      <c r="AK3" s="38"/>
    </row>
    <row r="4" spans="2:44" s="83" customFormat="1" ht="23.25" customHeight="1">
      <c r="B4" s="79" t="s">
        <v>54</v>
      </c>
      <c r="C4" s="95" t="s">
        <v>102</v>
      </c>
      <c r="D4" s="96"/>
      <c r="E4" s="96"/>
      <c r="F4" s="96"/>
      <c r="G4" s="96"/>
      <c r="H4" s="96"/>
      <c r="I4" s="96"/>
      <c r="J4" s="96"/>
      <c r="K4" s="97"/>
    </row>
    <row r="5" spans="2:44" s="83" customFormat="1" ht="23.25" customHeight="1">
      <c r="B5" s="79" t="s">
        <v>53</v>
      </c>
      <c r="C5" s="95" t="s">
        <v>65</v>
      </c>
      <c r="D5" s="96"/>
      <c r="E5" s="96"/>
      <c r="F5" s="96"/>
      <c r="G5" s="96"/>
      <c r="H5" s="96"/>
      <c r="I5" s="96"/>
      <c r="J5" s="96"/>
      <c r="K5" s="97"/>
    </row>
    <row r="6" spans="2:44" s="83" customFormat="1" ht="23.25" customHeight="1">
      <c r="B6" s="79" t="s">
        <v>52</v>
      </c>
      <c r="C6" s="95"/>
      <c r="D6" s="96"/>
      <c r="E6" s="96"/>
      <c r="F6" s="96"/>
      <c r="G6" s="96"/>
      <c r="H6" s="96"/>
      <c r="I6" s="96"/>
      <c r="J6" s="96"/>
      <c r="K6" s="97"/>
      <c r="AK6" s="38"/>
    </row>
    <row r="7" spans="2:44">
      <c r="B7" s="80"/>
      <c r="C7" s="81"/>
      <c r="D7" s="80"/>
      <c r="E7" s="80"/>
      <c r="F7" s="80"/>
      <c r="G7" s="80"/>
      <c r="H7" s="80"/>
      <c r="I7" s="80"/>
      <c r="J7" s="80"/>
      <c r="K7" s="80"/>
    </row>
    <row r="8" spans="2:44" ht="14.25" customHeight="1">
      <c r="B8" s="1"/>
      <c r="C8" s="11"/>
    </row>
    <row r="9" spans="2:44" ht="22.5" customHeight="1">
      <c r="B9" s="3"/>
      <c r="C9" s="12"/>
      <c r="D9" s="24"/>
      <c r="E9" s="2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69</v>
      </c>
      <c r="C10" s="13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ht="18.75" customHeight="1">
      <c r="B11" s="117" t="str">
        <f>THG!B27</f>
        <v>CRF 1.A.3.a - nationaler Luftverkehr</v>
      </c>
      <c r="C11" s="14" t="s">
        <v>63</v>
      </c>
      <c r="D11" s="100">
        <f>(THG!D27)/1000</f>
        <v>2.3346458095547824</v>
      </c>
      <c r="E11" s="100">
        <f>(THG!E27)/1000</f>
        <v>2.2510227529915969</v>
      </c>
      <c r="F11" s="100">
        <f>(THG!F27)/1000</f>
        <v>2.2877074702453695</v>
      </c>
      <c r="G11" s="100">
        <f>(THG!G27)/1000</f>
        <v>2.2005114838881084</v>
      </c>
      <c r="H11" s="100">
        <f>(THG!H27)/1000</f>
        <v>2.1821496311506681</v>
      </c>
      <c r="I11" s="100">
        <f>(THG!I27)/1000</f>
        <v>2.289680403282536</v>
      </c>
      <c r="J11" s="100">
        <f>(THG!J27)/1000</f>
        <v>2.204529636250133</v>
      </c>
      <c r="K11" s="100">
        <f>(THG!K27)/1000</f>
        <v>2.3159964398188464</v>
      </c>
      <c r="L11" s="100">
        <f>(THG!L27)/1000</f>
        <v>2.3272260609315003</v>
      </c>
      <c r="M11" s="100">
        <f>(THG!M27)/1000</f>
        <v>2.3695647600722038</v>
      </c>
      <c r="N11" s="100">
        <f>(THG!N27)/1000</f>
        <v>2.4924328577868509</v>
      </c>
      <c r="O11" s="100">
        <f>(THG!O27)/1000</f>
        <v>2.4086115141749787</v>
      </c>
      <c r="P11" s="100">
        <f>(THG!P27)/1000</f>
        <v>2.2975494897850011</v>
      </c>
      <c r="Q11" s="100">
        <f>(THG!Q27)/1000</f>
        <v>2.2845489312317713</v>
      </c>
      <c r="R11" s="100">
        <f>(THG!R27)/1000</f>
        <v>2.2560867435519856</v>
      </c>
      <c r="S11" s="100">
        <f>(THG!S27)/1000</f>
        <v>2.2823585300430058</v>
      </c>
      <c r="T11" s="100">
        <f>(THG!T27)/1000</f>
        <v>2.3361408007277187</v>
      </c>
      <c r="U11" s="100">
        <f>(THG!U27)/1000</f>
        <v>2.4058207427924869</v>
      </c>
      <c r="V11" s="100">
        <f>(THG!V27)/1000</f>
        <v>2.4302787016670084</v>
      </c>
      <c r="W11" s="100">
        <f>(THG!W27)/1000</f>
        <v>2.2826464874040115</v>
      </c>
      <c r="X11" s="100">
        <f>(THG!X27)/1000</f>
        <v>2.2704825423158459</v>
      </c>
      <c r="Y11" s="100">
        <f>(THG!Y27)/1000</f>
        <v>2.2930463812919872</v>
      </c>
      <c r="Z11" s="100">
        <f>(THG!Z27)/1000</f>
        <v>2.1797128772971566</v>
      </c>
      <c r="AA11" s="100">
        <f>(THG!AA27)/1000</f>
        <v>1.9698778292144068</v>
      </c>
      <c r="AB11" s="100">
        <f>(THG!AB27)/1000</f>
        <v>1.9917205496418362</v>
      </c>
      <c r="AC11" s="100">
        <f>(THG!AC27)/1000</f>
        <v>2.0782031133027039</v>
      </c>
      <c r="AD11" s="100">
        <f>(THG!AD27)/1000</f>
        <v>2.0852710513663597</v>
      </c>
      <c r="AE11" s="100">
        <f>(THG!AE27)/1000</f>
        <v>2.0222945128978358</v>
      </c>
      <c r="AF11" s="100">
        <f>(THG!AF27)/1000</f>
        <v>2.0145028144562125</v>
      </c>
      <c r="AG11" s="100">
        <f>(THG!AG27)/1000</f>
        <v>2.0758291371257953</v>
      </c>
      <c r="AH11" s="171">
        <f>(THG!AH27)/1000</f>
        <v>0.93010536184034465</v>
      </c>
      <c r="AI11" s="171">
        <f>(THG!AI27)/1000</f>
        <v>0.71797981683465206</v>
      </c>
      <c r="AJ11" s="171">
        <f>(THG!AJ27)/1000</f>
        <v>1.0425364836652657</v>
      </c>
      <c r="AK11" s="171">
        <f>(THG!AK27)/1000</f>
        <v>1.0936396107909787</v>
      </c>
      <c r="AL11" s="171">
        <f>(THG!AL27)/1000</f>
        <v>1.1042699646105931</v>
      </c>
      <c r="AM11" s="29"/>
      <c r="AN11" s="29"/>
      <c r="AO11" s="29"/>
      <c r="AP11" s="29"/>
      <c r="AQ11" s="29"/>
      <c r="AR11" s="29"/>
    </row>
    <row r="12" spans="2:44" ht="18.75" customHeight="1">
      <c r="B12" s="118" t="str">
        <f>THG!B28</f>
        <v>CRF 1.A.3.b - Straßenverkehr</v>
      </c>
      <c r="C12" s="89" t="s">
        <v>63</v>
      </c>
      <c r="D12" s="101">
        <f>(THG!D28)/1000</f>
        <v>154.8260022945274</v>
      </c>
      <c r="E12" s="101">
        <f>(THG!E28)/1000</f>
        <v>158.31631965653133</v>
      </c>
      <c r="F12" s="101">
        <f>(THG!F28)/1000</f>
        <v>164.1351971882593</v>
      </c>
      <c r="G12" s="101">
        <f>(THG!G28)/1000</f>
        <v>168.57505700152231</v>
      </c>
      <c r="H12" s="101">
        <f>(THG!H28)/1000</f>
        <v>164.81080102315914</v>
      </c>
      <c r="I12" s="101">
        <f>(THG!I28)/1000</f>
        <v>168.90064111783175</v>
      </c>
      <c r="J12" s="101">
        <f>(THG!J28)/1000</f>
        <v>168.87220827365923</v>
      </c>
      <c r="K12" s="101">
        <f>(THG!K28)/1000</f>
        <v>169.68691223966491</v>
      </c>
      <c r="L12" s="101">
        <f>(THG!L28)/1000</f>
        <v>173.05277416104519</v>
      </c>
      <c r="M12" s="101">
        <f>(THG!M28)/1000</f>
        <v>178.49468840632912</v>
      </c>
      <c r="N12" s="101">
        <f>(THG!N28)/1000</f>
        <v>174.49877886732304</v>
      </c>
      <c r="O12" s="101">
        <f>(THG!O28)/1000</f>
        <v>170.86600156523653</v>
      </c>
      <c r="P12" s="101">
        <f>(THG!P28)/1000</f>
        <v>168.6717742025649</v>
      </c>
      <c r="Q12" s="101">
        <f>(THG!Q28)/1000</f>
        <v>159.40495202145115</v>
      </c>
      <c r="R12" s="101">
        <f>(THG!R28)/1000</f>
        <v>153.82564568599958</v>
      </c>
      <c r="S12" s="101">
        <f>(THG!S28)/1000</f>
        <v>149.71100326000331</v>
      </c>
      <c r="T12" s="101">
        <f>(THG!T28)/1000</f>
        <v>154.50501173733724</v>
      </c>
      <c r="U12" s="101">
        <f>(THG!U28)/1000</f>
        <v>146.8390119128828</v>
      </c>
      <c r="V12" s="101">
        <f>(THG!V28)/1000</f>
        <v>151.54594182854595</v>
      </c>
      <c r="W12" s="101">
        <f>(THG!W28)/1000</f>
        <v>146.79211943997015</v>
      </c>
      <c r="X12" s="101">
        <f>(THG!X28)/1000</f>
        <v>145.10325787212471</v>
      </c>
      <c r="Y12" s="101">
        <f>(THG!Y28)/1000</f>
        <v>147.06005973145903</v>
      </c>
      <c r="Z12" s="101">
        <f>(THG!Z28)/1000</f>
        <v>145.54583890125153</v>
      </c>
      <c r="AA12" s="101">
        <f>(THG!AA28)/1000</f>
        <v>149.78191436468117</v>
      </c>
      <c r="AB12" s="101">
        <f>(THG!AB28)/1000</f>
        <v>149.01288148516159</v>
      </c>
      <c r="AC12" s="101">
        <f>(THG!AC28)/1000</f>
        <v>156.69366533810853</v>
      </c>
      <c r="AD12" s="101">
        <f>(THG!AD28)/1000</f>
        <v>158.85160097435508</v>
      </c>
      <c r="AE12" s="101">
        <f>(THG!AE28)/1000</f>
        <v>160.46464090525109</v>
      </c>
      <c r="AF12" s="101">
        <f>(THG!AF28)/1000</f>
        <v>160.76596773031517</v>
      </c>
      <c r="AG12" s="101">
        <f>(THG!AG28)/1000</f>
        <v>159.54992271464161</v>
      </c>
      <c r="AH12" s="172">
        <f>(THG!AH28)/1000</f>
        <v>142.88527469920746</v>
      </c>
      <c r="AI12" s="172">
        <f>(THG!AI28)/1000</f>
        <v>141.42532318791157</v>
      </c>
      <c r="AJ12" s="172">
        <f>(THG!AJ28)/1000</f>
        <v>144.47932666318232</v>
      </c>
      <c r="AK12" s="172">
        <f>(THG!AK28)/1000</f>
        <v>141.86257679252628</v>
      </c>
      <c r="AL12" s="172">
        <f>(THG!AL28)/1000</f>
        <v>139.76017351949847</v>
      </c>
      <c r="AM12" s="91"/>
      <c r="AN12" s="91"/>
      <c r="AO12" s="91"/>
      <c r="AP12" s="91"/>
      <c r="AQ12" s="91"/>
      <c r="AR12" s="91"/>
    </row>
    <row r="13" spans="2:44" ht="18.75" customHeight="1">
      <c r="B13" s="119" t="str">
        <f>THG!B29</f>
        <v>CRF 1.A.3.c - Schienenverkehr</v>
      </c>
      <c r="C13" s="102" t="s">
        <v>63</v>
      </c>
      <c r="D13" s="100">
        <f>(THG!D29)/1000</f>
        <v>3.1596208589756634</v>
      </c>
      <c r="E13" s="100">
        <f>(THG!E29)/1000</f>
        <v>2.8182699280004586</v>
      </c>
      <c r="F13" s="100">
        <f>(THG!F29)/1000</f>
        <v>2.7660065034907895</v>
      </c>
      <c r="G13" s="100">
        <f>(THG!G29)/1000</f>
        <v>2.7536242915548192</v>
      </c>
      <c r="H13" s="100">
        <f>(THG!H29)/1000</f>
        <v>2.5609839761531892</v>
      </c>
      <c r="I13" s="100">
        <f>(THG!I29)/1000</f>
        <v>2.4768837435176958</v>
      </c>
      <c r="J13" s="100">
        <f>(THG!J29)/1000</f>
        <v>2.3542166802020499</v>
      </c>
      <c r="K13" s="100">
        <f>(THG!K29)/1000</f>
        <v>2.1728591615445243</v>
      </c>
      <c r="L13" s="100">
        <f>(THG!L29)/1000</f>
        <v>2.0508923741277174</v>
      </c>
      <c r="M13" s="100">
        <f>(THG!M29)/1000</f>
        <v>1.9379335081194597</v>
      </c>
      <c r="N13" s="100">
        <f>(THG!N29)/1000</f>
        <v>1.9539274894846119</v>
      </c>
      <c r="O13" s="100">
        <f>(THG!O29)/1000</f>
        <v>1.7909116682235446</v>
      </c>
      <c r="P13" s="100">
        <f>(THG!P29)/1000</f>
        <v>1.6588441812864345</v>
      </c>
      <c r="Q13" s="100">
        <f>(THG!Q29)/1000</f>
        <v>1.627746693821142</v>
      </c>
      <c r="R13" s="100">
        <f>(THG!R29)/1000</f>
        <v>1.5376039912405004</v>
      </c>
      <c r="S13" s="100">
        <f>(THG!S29)/1000</f>
        <v>1.4296973196908995</v>
      </c>
      <c r="T13" s="100">
        <f>(THG!T29)/1000</f>
        <v>1.2921468155329514</v>
      </c>
      <c r="U13" s="100">
        <f>(THG!U29)/1000</f>
        <v>1.249213410625013</v>
      </c>
      <c r="V13" s="100">
        <f>(THG!V29)/1000</f>
        <v>1.2162410518594566</v>
      </c>
      <c r="W13" s="100">
        <f>(THG!W29)/1000</f>
        <v>1.0999605451539824</v>
      </c>
      <c r="X13" s="100">
        <f>(THG!X29)/1000</f>
        <v>1.1208457538602012</v>
      </c>
      <c r="Y13" s="100">
        <f>(THG!Y29)/1000</f>
        <v>1.1321541069682892</v>
      </c>
      <c r="Z13" s="100">
        <f>(THG!Z29)/1000</f>
        <v>1.0422381377744023</v>
      </c>
      <c r="AA13" s="100">
        <f>(THG!AA29)/1000</f>
        <v>1.0601616632470585</v>
      </c>
      <c r="AB13" s="100">
        <f>(THG!AB29)/1000</f>
        <v>0.94846245243745875</v>
      </c>
      <c r="AC13" s="100">
        <f>(THG!AC29)/1000</f>
        <v>1.0245171164134708</v>
      </c>
      <c r="AD13" s="100">
        <f>(THG!AD29)/1000</f>
        <v>1.0593065302001867</v>
      </c>
      <c r="AE13" s="100">
        <f>(THG!AE29)/1000</f>
        <v>0.87883699850188746</v>
      </c>
      <c r="AF13" s="100">
        <f>(THG!AF29)/1000</f>
        <v>0.73584142679479636</v>
      </c>
      <c r="AG13" s="100">
        <f>(THG!AG29)/1000</f>
        <v>0.83412805696767278</v>
      </c>
      <c r="AH13" s="171">
        <f>(THG!AH29)/1000</f>
        <v>0.83257718677161185</v>
      </c>
      <c r="AI13" s="171">
        <f>(THG!AI29)/1000</f>
        <v>0.85554028364683066</v>
      </c>
      <c r="AJ13" s="171">
        <f>(THG!AJ29)/1000</f>
        <v>0.81170141393921313</v>
      </c>
      <c r="AK13" s="171">
        <f>(THG!AK29)/1000</f>
        <v>0.77879979520654907</v>
      </c>
      <c r="AL13" s="171">
        <f>(THG!AL29)/1000</f>
        <v>0.75745792612391472</v>
      </c>
      <c r="AM13" s="29"/>
      <c r="AN13" s="29"/>
      <c r="AO13" s="29"/>
      <c r="AP13" s="29"/>
      <c r="AQ13" s="29"/>
      <c r="AR13" s="29"/>
    </row>
    <row r="14" spans="2:44" ht="37.5" customHeight="1">
      <c r="B14" s="118" t="str">
        <f>THG!B30</f>
        <v>CRF 1.A.3.d - Küsten- &amp; Binnenschifffahrt</v>
      </c>
      <c r="C14" s="89" t="s">
        <v>63</v>
      </c>
      <c r="D14" s="101">
        <f>(THG!D30)/1000</f>
        <v>3.0350976026165424</v>
      </c>
      <c r="E14" s="101">
        <f>(THG!E30)/1000</f>
        <v>2.9176230767437232</v>
      </c>
      <c r="F14" s="101">
        <f>(THG!F30)/1000</f>
        <v>2.9790198202231304</v>
      </c>
      <c r="G14" s="101">
        <f>(THG!G30)/1000</f>
        <v>2.9636687538402264</v>
      </c>
      <c r="H14" s="101">
        <f>(THG!H30)/1000</f>
        <v>2.9092834091717124</v>
      </c>
      <c r="I14" s="101">
        <f>(THG!I30)/1000</f>
        <v>2.4552705510083817</v>
      </c>
      <c r="J14" s="101">
        <f>(THG!J30)/1000</f>
        <v>2.2754225998904754</v>
      </c>
      <c r="K14" s="101">
        <f>(THG!K30)/1000</f>
        <v>1.9451644037406666</v>
      </c>
      <c r="L14" s="101">
        <f>(THG!L30)/1000</f>
        <v>1.9656389618473025</v>
      </c>
      <c r="M14" s="101">
        <f>(THG!M30)/1000</f>
        <v>1.7274748020807866</v>
      </c>
      <c r="N14" s="101">
        <f>(THG!N30)/1000</f>
        <v>1.6412418337464423</v>
      </c>
      <c r="O14" s="101">
        <f>(THG!O30)/1000</f>
        <v>1.62824149014612</v>
      </c>
      <c r="P14" s="101">
        <f>(THG!P30)/1000</f>
        <v>1.5551486817926401</v>
      </c>
      <c r="Q14" s="101">
        <f>(THG!Q30)/1000</f>
        <v>1.8986309587214067</v>
      </c>
      <c r="R14" s="101">
        <f>(THG!R30)/1000</f>
        <v>2.0100052369279662</v>
      </c>
      <c r="S14" s="101">
        <f>(THG!S30)/1000</f>
        <v>2.136176624156529</v>
      </c>
      <c r="T14" s="101">
        <f>(THG!T30)/1000</f>
        <v>2.1442110394897678</v>
      </c>
      <c r="U14" s="101">
        <f>(THG!U30)/1000</f>
        <v>1.9443515085131886</v>
      </c>
      <c r="V14" s="101">
        <f>(THG!V30)/1000</f>
        <v>2.1696431588315885</v>
      </c>
      <c r="W14" s="101">
        <f>(THG!W30)/1000</f>
        <v>1.805836583794528</v>
      </c>
      <c r="X14" s="101">
        <f>(THG!X30)/1000</f>
        <v>1.9535793867774063</v>
      </c>
      <c r="Y14" s="101">
        <f>(THG!Y30)/1000</f>
        <v>1.819669174820816</v>
      </c>
      <c r="Z14" s="101">
        <f>(THG!Z30)/1000</f>
        <v>1.8736890674534059</v>
      </c>
      <c r="AA14" s="101">
        <f>(THG!AA30)/1000</f>
        <v>1.8700838156622215</v>
      </c>
      <c r="AB14" s="101">
        <f>(THG!AB30)/1000</f>
        <v>1.8997422933546861</v>
      </c>
      <c r="AC14" s="101">
        <f>(THG!AC30)/1000</f>
        <v>1.8847390971086382</v>
      </c>
      <c r="AD14" s="101">
        <f>(THG!AD30)/1000</f>
        <v>1.807643468449577</v>
      </c>
      <c r="AE14" s="101">
        <f>(THG!AE30)/1000</f>
        <v>1.8106491347633897</v>
      </c>
      <c r="AF14" s="101">
        <f>(THG!AF30)/1000</f>
        <v>1.8643037962875397</v>
      </c>
      <c r="AG14" s="101">
        <f>(THG!AG30)/1000</f>
        <v>1.8640901612189325</v>
      </c>
      <c r="AH14" s="172">
        <f>(THG!AH30)/1000</f>
        <v>1.7377854356787086</v>
      </c>
      <c r="AI14" s="172">
        <f>(THG!AI30)/1000</f>
        <v>1.6001866780501408</v>
      </c>
      <c r="AJ14" s="172">
        <f>(THG!AJ30)/1000</f>
        <v>1.3573108227078448</v>
      </c>
      <c r="AK14" s="172">
        <f>(THG!AK30)/1000</f>
        <v>1.3961424300034029</v>
      </c>
      <c r="AL14" s="172">
        <f>(THG!AL30)/1000</f>
        <v>1.4328668379207066</v>
      </c>
      <c r="AM14" s="91"/>
      <c r="AN14" s="91"/>
      <c r="AO14" s="91"/>
      <c r="AP14" s="91"/>
      <c r="AQ14" s="91"/>
      <c r="AR14" s="91"/>
    </row>
    <row r="15" spans="2:44" ht="18.75" customHeight="1">
      <c r="B15" s="5" t="str">
        <f>THG!B26</f>
        <v>4 - Verkehr</v>
      </c>
      <c r="C15" s="20" t="s">
        <v>63</v>
      </c>
      <c r="D15" s="21">
        <f>(THG!D26)/1000</f>
        <v>163.35536656567436</v>
      </c>
      <c r="E15" s="21">
        <f>(THG!E26)/1000</f>
        <v>166.30323541426711</v>
      </c>
      <c r="F15" s="21">
        <f>(THG!F26)/1000</f>
        <v>172.16793098221859</v>
      </c>
      <c r="G15" s="21">
        <f>(THG!G26)/1000</f>
        <v>176.49286153080547</v>
      </c>
      <c r="H15" s="21">
        <f>(THG!H26)/1000</f>
        <v>172.46321803963471</v>
      </c>
      <c r="I15" s="21">
        <f>(THG!I26)/1000</f>
        <v>176.12247581564034</v>
      </c>
      <c r="J15" s="21">
        <f>(THG!J26)/1000</f>
        <v>175.70637719000189</v>
      </c>
      <c r="K15" s="21">
        <f>(THG!K26)/1000</f>
        <v>176.12093224476894</v>
      </c>
      <c r="L15" s="21">
        <f>(THG!L26)/1000</f>
        <v>179.39653155795173</v>
      </c>
      <c r="M15" s="21">
        <f>(THG!M26)/1000</f>
        <v>184.52966147660155</v>
      </c>
      <c r="N15" s="21">
        <f>(THG!N26)/1000</f>
        <v>180.58638104834094</v>
      </c>
      <c r="O15" s="21">
        <f>(THG!O26)/1000</f>
        <v>176.69376623778118</v>
      </c>
      <c r="P15" s="21">
        <f>(THG!P26)/1000</f>
        <v>174.183316555429</v>
      </c>
      <c r="Q15" s="21">
        <f>(THG!Q26)/1000</f>
        <v>165.21587860522547</v>
      </c>
      <c r="R15" s="21">
        <f>(THG!R26)/1000</f>
        <v>159.62934165772</v>
      </c>
      <c r="S15" s="21">
        <f>(THG!S26)/1000</f>
        <v>155.55923573389376</v>
      </c>
      <c r="T15" s="21">
        <f>(THG!T26)/1000</f>
        <v>160.27751039308768</v>
      </c>
      <c r="U15" s="21">
        <f>(THG!U26)/1000</f>
        <v>152.43839757481345</v>
      </c>
      <c r="V15" s="21">
        <f>(THG!V26)/1000</f>
        <v>157.36210474090399</v>
      </c>
      <c r="W15" s="21">
        <f>(THG!W26)/1000</f>
        <v>151.98056305632267</v>
      </c>
      <c r="X15" s="21">
        <f>(THG!X26)/1000</f>
        <v>150.44816555507819</v>
      </c>
      <c r="Y15" s="21">
        <f>(THG!Y26)/1000</f>
        <v>152.30492939454015</v>
      </c>
      <c r="Z15" s="21">
        <f>(THG!Z26)/1000</f>
        <v>150.64147898377649</v>
      </c>
      <c r="AA15" s="21">
        <f>(THG!AA26)/1000</f>
        <v>154.68203767280488</v>
      </c>
      <c r="AB15" s="21">
        <f>(THG!AB26)/1000</f>
        <v>153.85280678059556</v>
      </c>
      <c r="AC15" s="21">
        <f>(THG!AC26)/1000</f>
        <v>161.68112466493332</v>
      </c>
      <c r="AD15" s="21">
        <f>(THG!AD26)/1000</f>
        <v>163.80382202437119</v>
      </c>
      <c r="AE15" s="21">
        <f>(THG!AE26)/1000</f>
        <v>165.17642155141422</v>
      </c>
      <c r="AF15" s="21">
        <f>(THG!AF26)/1000</f>
        <v>165.38061576785373</v>
      </c>
      <c r="AG15" s="21">
        <f>(THG!AG26)/1000</f>
        <v>164.32397006995399</v>
      </c>
      <c r="AH15" s="164">
        <f>(THG!AH26)/1000</f>
        <v>146.38574268349811</v>
      </c>
      <c r="AI15" s="164">
        <f>(THG!AI26)/1000</f>
        <v>144.5990299664432</v>
      </c>
      <c r="AJ15" s="164">
        <f>(THG!AJ26)/1000</f>
        <v>147.69087538349461</v>
      </c>
      <c r="AK15" s="164">
        <f>(THG!AK26)/1000</f>
        <v>145.13115862852723</v>
      </c>
      <c r="AL15" s="164">
        <f>(THG!AL26)/1000</f>
        <v>143.05476824815369</v>
      </c>
      <c r="AM15" s="27"/>
      <c r="AN15" s="27"/>
      <c r="AO15" s="27"/>
      <c r="AP15" s="27"/>
      <c r="AQ15" s="27"/>
      <c r="AR15" s="27"/>
    </row>
    <row r="16" spans="2:44" ht="18.75" customHeight="1">
      <c r="B16" s="90"/>
      <c r="C16" s="89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</row>
    <row r="17" spans="2:44" ht="18.75" customHeight="1">
      <c r="B17" s="5" t="s">
        <v>14</v>
      </c>
      <c r="C17" s="20" t="str">
        <f>'Daten Zielpfadgrafik'!C26</f>
        <v>aktueller Zielpfad**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7">
        <f>'Daten Zielpfadgrafik'!AH26</f>
        <v>150</v>
      </c>
      <c r="AI17" s="27">
        <f>'Daten Zielpfadgrafik'!AI26</f>
        <v>145</v>
      </c>
      <c r="AJ17" s="27">
        <f>'Daten Zielpfadgrafik'!AJ26</f>
        <v>138.80153267406732</v>
      </c>
      <c r="AK17" s="27">
        <f>'Daten Zielpfadgrafik'!AK26</f>
        <v>132.74131421065542</v>
      </c>
      <c r="AL17" s="27">
        <f>'Daten Zielpfadgrafik'!AL26</f>
        <v>124.97133643667371</v>
      </c>
      <c r="AM17" s="27">
        <f>'Daten Zielpfadgrafik'!AM26</f>
        <v>116.95743113476038</v>
      </c>
      <c r="AN17" s="27">
        <f>'Daten Zielpfadgrafik'!AN26</f>
        <v>110.95743113476038</v>
      </c>
      <c r="AO17" s="27">
        <f>'Daten Zielpfadgrafik'!AO26</f>
        <v>105.95743113476038</v>
      </c>
      <c r="AP17" s="27">
        <f>'Daten Zielpfadgrafik'!AP26</f>
        <v>98.957431134760384</v>
      </c>
      <c r="AQ17" s="27">
        <f>'Daten Zielpfadgrafik'!AQ26</f>
        <v>89.957431134760384</v>
      </c>
      <c r="AR17" s="27">
        <f>'Daten Zielpfadgrafik'!AR26</f>
        <v>78.957431134760384</v>
      </c>
    </row>
    <row r="18" spans="2:44" ht="14.25" customHeight="1">
      <c r="B18" s="7"/>
      <c r="C18" s="16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29004-963C-4A4F-8487-83F81E29D193}">
  <sheetPr>
    <tabColor theme="5"/>
    <pageSetUpPr fitToPage="1"/>
  </sheetPr>
  <dimension ref="A1:X35"/>
  <sheetViews>
    <sheetView showGridLines="0" zoomScale="130" zoomScaleNormal="130" zoomScaleSheetLayoutView="110" workbookViewId="0">
      <selection activeCell="O19" sqref="O19"/>
    </sheetView>
  </sheetViews>
  <sheetFormatPr baseColWidth="10" defaultColWidth="11.42578125" defaultRowHeight="12.75"/>
  <cols>
    <col min="1" max="1" width="5.7109375" style="41" customWidth="1"/>
    <col min="2" max="2" width="4.28515625" style="41" customWidth="1"/>
    <col min="3" max="3" width="1.7109375" style="41" customWidth="1"/>
    <col min="4" max="4" width="14" style="41" customWidth="1"/>
    <col min="5" max="5" width="1.7109375" style="41" customWidth="1"/>
    <col min="6" max="6" width="14" style="41" customWidth="1"/>
    <col min="7" max="7" width="1.7109375" style="41" customWidth="1"/>
    <col min="8" max="8" width="14" style="41" customWidth="1"/>
    <col min="9" max="9" width="1.7109375" style="41" customWidth="1"/>
    <col min="10" max="10" width="14" style="41" customWidth="1"/>
    <col min="11" max="11" width="1.7109375" style="41" customWidth="1"/>
    <col min="12" max="12" width="14" style="41" customWidth="1"/>
    <col min="13" max="13" width="3.140625" style="41" customWidth="1"/>
    <col min="14" max="14" width="1.42578125" style="41" customWidth="1"/>
    <col min="15" max="15" width="15.140625" style="41" customWidth="1"/>
    <col min="16" max="16" width="2.5703125" style="42" customWidth="1"/>
    <col min="17" max="19" width="11.7109375" style="42" customWidth="1"/>
    <col min="20" max="20" width="4" style="42" customWidth="1"/>
    <col min="21" max="22" width="11.7109375" style="42" customWidth="1"/>
    <col min="23" max="23" width="19.140625" style="42" customWidth="1"/>
    <col min="24" max="24" width="2.5703125" style="42" customWidth="1"/>
    <col min="25" max="16384" width="11.42578125" style="42"/>
  </cols>
  <sheetData>
    <row r="1" spans="1:24" ht="20.25" customHeight="1">
      <c r="A1" s="40"/>
    </row>
    <row r="2" spans="1:24" ht="20.2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P2" s="225" t="s">
        <v>62</v>
      </c>
      <c r="Q2" s="226"/>
      <c r="R2" s="226"/>
      <c r="S2" s="226"/>
      <c r="T2" s="226"/>
      <c r="U2" s="226"/>
      <c r="V2" s="226"/>
      <c r="W2" s="226"/>
      <c r="X2" s="227"/>
    </row>
    <row r="3" spans="1:24" ht="18.7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P3" s="45"/>
      <c r="Q3" s="46"/>
      <c r="R3" s="47"/>
      <c r="S3" s="46"/>
      <c r="T3" s="46"/>
      <c r="U3" s="47"/>
      <c r="V3" s="46"/>
      <c r="W3" s="46"/>
      <c r="X3" s="48"/>
    </row>
    <row r="4" spans="1:24" ht="15.9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P4" s="45"/>
      <c r="Q4" s="46"/>
      <c r="R4" s="46"/>
      <c r="S4" s="46"/>
      <c r="T4" s="46"/>
      <c r="U4" s="46"/>
      <c r="V4" s="46"/>
      <c r="W4" s="46"/>
      <c r="X4" s="48"/>
    </row>
    <row r="5" spans="1:24" ht="7.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P5" s="50"/>
      <c r="Q5" s="51"/>
      <c r="R5" s="51"/>
      <c r="S5" s="51"/>
      <c r="T5" s="51"/>
      <c r="U5" s="51"/>
      <c r="V5" s="51"/>
      <c r="W5" s="51"/>
      <c r="X5" s="52"/>
    </row>
    <row r="6" spans="1:24" ht="16.5" customHeight="1">
      <c r="B6" s="53"/>
      <c r="P6" s="50"/>
      <c r="Q6" s="51"/>
      <c r="R6" s="51"/>
      <c r="S6" s="51"/>
      <c r="T6" s="51"/>
      <c r="U6" s="51"/>
      <c r="V6" s="51"/>
      <c r="W6" s="51"/>
      <c r="X6" s="52"/>
    </row>
    <row r="7" spans="1:24" ht="16.5" customHeight="1">
      <c r="B7" s="53"/>
      <c r="P7" s="50"/>
      <c r="Q7" s="51"/>
      <c r="R7" s="51"/>
      <c r="S7" s="51"/>
      <c r="T7" s="51"/>
      <c r="U7" s="51"/>
      <c r="V7" s="51"/>
      <c r="W7" s="51"/>
      <c r="X7" s="52"/>
    </row>
    <row r="8" spans="1:24" ht="16.5" customHeight="1">
      <c r="B8" s="53"/>
      <c r="P8" s="50"/>
      <c r="Q8" s="51"/>
      <c r="R8" s="51"/>
      <c r="S8" s="51"/>
      <c r="T8" s="51"/>
      <c r="U8" s="51"/>
      <c r="V8" s="51"/>
      <c r="W8" s="51"/>
      <c r="X8" s="52"/>
    </row>
    <row r="9" spans="1:24" ht="16.5" customHeight="1">
      <c r="B9" s="53"/>
      <c r="P9" s="50"/>
      <c r="Q9" s="51"/>
      <c r="R9" s="51"/>
      <c r="S9" s="51"/>
      <c r="T9" s="51"/>
      <c r="U9" s="51"/>
      <c r="V9" s="51"/>
      <c r="W9" s="51"/>
      <c r="X9" s="52"/>
    </row>
    <row r="10" spans="1:24" ht="16.5" customHeight="1">
      <c r="B10" s="53"/>
      <c r="P10" s="50"/>
      <c r="Q10" s="51"/>
      <c r="R10" s="51"/>
      <c r="S10" s="51"/>
      <c r="T10" s="51"/>
      <c r="U10" s="51"/>
      <c r="V10" s="51"/>
      <c r="W10" s="51"/>
      <c r="X10" s="52"/>
    </row>
    <row r="11" spans="1:24" ht="16.5" customHeight="1">
      <c r="B11" s="53"/>
      <c r="P11" s="50"/>
      <c r="Q11" s="54" t="s">
        <v>61</v>
      </c>
      <c r="R11" s="51"/>
      <c r="S11" s="51"/>
      <c r="T11" s="51"/>
      <c r="U11" s="51"/>
      <c r="V11" s="51"/>
      <c r="W11" s="51"/>
      <c r="X11" s="52"/>
    </row>
    <row r="12" spans="1:24" ht="16.5" customHeight="1">
      <c r="B12" s="53"/>
      <c r="P12" s="50"/>
      <c r="Q12" s="51"/>
      <c r="R12" s="51"/>
      <c r="S12" s="51"/>
      <c r="T12" s="51"/>
      <c r="U12" s="51"/>
      <c r="V12" s="51"/>
      <c r="W12" s="51"/>
      <c r="X12" s="52"/>
    </row>
    <row r="13" spans="1:24" ht="17.25" customHeight="1">
      <c r="B13" s="53"/>
      <c r="P13" s="50"/>
      <c r="Q13" s="54" t="s">
        <v>60</v>
      </c>
      <c r="R13" s="51"/>
      <c r="S13" s="51"/>
      <c r="T13" s="51"/>
      <c r="U13" s="51"/>
      <c r="V13" s="51"/>
      <c r="W13" s="51"/>
      <c r="X13" s="52"/>
    </row>
    <row r="14" spans="1:24" ht="16.5" customHeight="1">
      <c r="B14" s="53"/>
      <c r="P14" s="50"/>
      <c r="Q14" s="51"/>
      <c r="R14" s="51"/>
      <c r="S14" s="51"/>
      <c r="T14" s="51"/>
      <c r="U14" s="51"/>
      <c r="V14" s="51"/>
      <c r="W14" s="51"/>
      <c r="X14" s="52"/>
    </row>
    <row r="15" spans="1:24" ht="16.5" customHeight="1">
      <c r="A15" s="55"/>
      <c r="B15" s="5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0"/>
      <c r="Q15" s="51"/>
      <c r="R15" s="54" t="s">
        <v>59</v>
      </c>
      <c r="S15" s="51"/>
      <c r="T15" s="51"/>
      <c r="U15" s="54" t="s">
        <v>59</v>
      </c>
      <c r="V15" s="51"/>
      <c r="W15" s="51"/>
      <c r="X15" s="52"/>
    </row>
    <row r="16" spans="1:24" ht="16.5" customHeight="1">
      <c r="A16" s="55"/>
      <c r="B16" s="56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0"/>
      <c r="Q16" s="51"/>
      <c r="R16" s="51"/>
      <c r="S16" s="51"/>
      <c r="T16" s="51"/>
      <c r="U16" s="51"/>
      <c r="V16" s="51"/>
      <c r="W16" s="51"/>
      <c r="X16" s="52"/>
    </row>
    <row r="17" spans="1:24" ht="16.5" customHeight="1">
      <c r="A17" s="55"/>
      <c r="B17" s="56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0"/>
      <c r="Q17" s="51"/>
      <c r="R17" s="51"/>
      <c r="S17" s="51"/>
      <c r="T17" s="51"/>
      <c r="U17" s="51"/>
      <c r="V17" s="51"/>
      <c r="W17" s="51"/>
      <c r="X17" s="52"/>
    </row>
    <row r="18" spans="1:24" ht="22.5" customHeight="1">
      <c r="A18" s="55"/>
      <c r="B18" s="56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0"/>
      <c r="Q18" s="51"/>
      <c r="R18" s="51"/>
      <c r="S18" s="51"/>
      <c r="T18" s="51"/>
      <c r="U18" s="51"/>
      <c r="V18" s="51"/>
      <c r="W18" s="51"/>
      <c r="X18" s="52"/>
    </row>
    <row r="19" spans="1:24" ht="87" customHeight="1">
      <c r="A19" s="57"/>
      <c r="B19" s="58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5"/>
      <c r="O19" s="55"/>
      <c r="P19" s="59"/>
      <c r="Q19" s="60"/>
      <c r="R19" s="60"/>
      <c r="S19" s="60"/>
      <c r="T19" s="60"/>
      <c r="U19" s="60"/>
      <c r="V19" s="60"/>
      <c r="W19" s="60"/>
      <c r="X19" s="61"/>
    </row>
    <row r="20" spans="1:24" ht="9" customHeight="1">
      <c r="A20" s="57"/>
      <c r="B20" s="58"/>
      <c r="C20" s="57"/>
      <c r="D20" s="224"/>
      <c r="E20" s="57"/>
      <c r="F20" s="224"/>
      <c r="G20" s="57"/>
      <c r="H20" s="224"/>
      <c r="I20" s="57"/>
      <c r="J20" s="224"/>
      <c r="K20" s="57"/>
      <c r="L20" s="224"/>
      <c r="M20" s="57"/>
      <c r="N20" s="55"/>
      <c r="O20" s="55"/>
    </row>
    <row r="21" spans="1:24" ht="11.25" customHeight="1">
      <c r="A21" s="57"/>
      <c r="B21" s="58"/>
      <c r="C21" s="57"/>
      <c r="D21" s="224"/>
      <c r="E21" s="57"/>
      <c r="F21" s="224"/>
      <c r="G21" s="57"/>
      <c r="H21" s="224"/>
      <c r="I21" s="57"/>
      <c r="J21" s="224"/>
      <c r="K21" s="57"/>
      <c r="L21" s="224"/>
      <c r="M21" s="57"/>
      <c r="N21" s="55"/>
      <c r="O21" s="55"/>
    </row>
    <row r="22" spans="1:24" ht="3.75" customHeight="1">
      <c r="A22" s="57"/>
      <c r="B22" s="58"/>
      <c r="C22" s="57"/>
      <c r="D22" s="93"/>
      <c r="E22" s="57"/>
      <c r="F22" s="93"/>
      <c r="G22" s="57"/>
      <c r="H22" s="93"/>
      <c r="I22" s="57"/>
      <c r="J22" s="93"/>
      <c r="K22" s="57"/>
      <c r="L22" s="93"/>
      <c r="M22" s="57"/>
      <c r="N22" s="55"/>
      <c r="O22" s="55"/>
    </row>
    <row r="23" spans="1:24" ht="9" customHeight="1">
      <c r="A23" s="57"/>
      <c r="B23" s="58"/>
      <c r="C23" s="57"/>
      <c r="D23" s="224"/>
      <c r="E23" s="57"/>
      <c r="F23" s="224"/>
      <c r="G23" s="57"/>
      <c r="H23" s="224"/>
      <c r="I23" s="57"/>
      <c r="J23" s="224"/>
      <c r="K23" s="57"/>
      <c r="L23" s="224"/>
      <c r="M23" s="57"/>
      <c r="N23" s="55"/>
      <c r="O23" s="55"/>
    </row>
    <row r="24" spans="1:24" ht="9" customHeight="1">
      <c r="A24" s="57"/>
      <c r="B24" s="58"/>
      <c r="C24" s="57"/>
      <c r="D24" s="224"/>
      <c r="E24" s="57"/>
      <c r="F24" s="224"/>
      <c r="G24" s="57"/>
      <c r="H24" s="224"/>
      <c r="I24" s="57"/>
      <c r="J24" s="224"/>
      <c r="K24" s="57"/>
      <c r="L24" s="224"/>
      <c r="M24" s="57"/>
      <c r="N24" s="55"/>
      <c r="O24" s="55"/>
    </row>
    <row r="25" spans="1:24" ht="16.5" customHeight="1">
      <c r="A25" s="55"/>
      <c r="B25" s="56"/>
      <c r="C25" s="63"/>
      <c r="D25" s="63"/>
      <c r="E25" s="63"/>
      <c r="F25" s="63"/>
      <c r="G25" s="63"/>
      <c r="H25" s="63"/>
      <c r="I25" s="63"/>
      <c r="J25" s="63"/>
      <c r="K25" s="63"/>
      <c r="L25" s="55"/>
      <c r="M25" s="55"/>
      <c r="N25" s="55"/>
      <c r="O25" s="55"/>
    </row>
    <row r="26" spans="1:24" ht="21.7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</row>
    <row r="27" spans="1:24" ht="6.75" customHeight="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</row>
    <row r="28" spans="1:24" ht="6" customHeight="1">
      <c r="A28" s="64"/>
      <c r="B28" s="64"/>
      <c r="C28" s="6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</row>
    <row r="29" spans="1:24" ht="4.5" customHeight="1">
      <c r="A29" s="64"/>
      <c r="B29" s="64"/>
      <c r="C29" s="6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</row>
    <row r="30" spans="1:24" ht="6" customHeight="1">
      <c r="A30" s="64"/>
      <c r="B30" s="64"/>
      <c r="C30" s="64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</row>
    <row r="31" spans="1:24" ht="6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</row>
    <row r="32" spans="1:24" ht="4.5" customHeight="1">
      <c r="A32" s="55"/>
      <c r="B32" s="55"/>
      <c r="C32" s="55"/>
      <c r="D32" s="55"/>
      <c r="E32" s="55"/>
      <c r="F32" s="55"/>
      <c r="G32" s="66"/>
      <c r="H32" s="66"/>
      <c r="I32" s="66"/>
      <c r="J32" s="66"/>
      <c r="K32" s="66"/>
      <c r="L32" s="55"/>
      <c r="M32" s="55"/>
      <c r="N32" s="55"/>
      <c r="O32" s="55"/>
    </row>
    <row r="33" spans="1:15" ht="18" customHeight="1">
      <c r="A33" s="67"/>
      <c r="B33" s="67"/>
      <c r="C33" s="67"/>
      <c r="D33" s="67"/>
      <c r="E33" s="67"/>
      <c r="F33" s="66"/>
      <c r="G33" s="66"/>
      <c r="H33" s="66"/>
      <c r="I33" s="66"/>
      <c r="J33" s="66"/>
      <c r="K33" s="66"/>
      <c r="L33" s="55"/>
      <c r="M33" s="55"/>
      <c r="N33" s="55"/>
      <c r="O33" s="55"/>
    </row>
    <row r="34" spans="1:15">
      <c r="A34" s="67"/>
      <c r="B34" s="67"/>
      <c r="C34" s="67"/>
      <c r="D34" s="67"/>
      <c r="E34" s="67"/>
      <c r="F34" s="66"/>
      <c r="G34" s="66"/>
      <c r="H34" s="66"/>
      <c r="I34" s="66"/>
      <c r="J34" s="66"/>
      <c r="K34" s="66"/>
      <c r="L34" s="55"/>
      <c r="M34" s="55"/>
      <c r="N34" s="55"/>
      <c r="O34" s="55"/>
    </row>
    <row r="35" spans="1:15">
      <c r="A35" s="67"/>
      <c r="B35" s="67"/>
      <c r="C35" s="67"/>
      <c r="D35" s="67"/>
      <c r="E35" s="67"/>
      <c r="F35" s="66"/>
      <c r="G35" s="66"/>
      <c r="H35" s="66"/>
      <c r="I35" s="66"/>
      <c r="J35" s="66"/>
      <c r="K35" s="66"/>
      <c r="L35" s="55"/>
      <c r="M35" s="55"/>
      <c r="N35" s="55"/>
      <c r="O35" s="55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E05C3-7992-42CE-9093-B823D7900E37}">
  <sheetPr>
    <tabColor theme="8"/>
  </sheetPr>
  <dimension ref="B1:AR22"/>
  <sheetViews>
    <sheetView showGridLines="0" zoomScale="85" zoomScaleNormal="85" zoomScalePageLayoutView="150" workbookViewId="0">
      <pane xSplit="3" ySplit="10" topLeftCell="D11" activePane="bottomRight" state="frozen"/>
      <selection activeCell="AH22" sqref="AH22"/>
      <selection pane="topRight" activeCell="AH22" sqref="AH22"/>
      <selection pane="bottomLeft" activeCell="AH22" sqref="AH22"/>
      <selection pane="bottomRight" activeCell="C1" sqref="C1"/>
    </sheetView>
  </sheetViews>
  <sheetFormatPr baseColWidth="10" defaultColWidth="11.42578125" defaultRowHeight="15" outlineLevelCol="1"/>
  <cols>
    <col min="1" max="1" width="5.42578125" style="88" customWidth="1"/>
    <col min="2" max="2" width="39.7109375" style="88" customWidth="1"/>
    <col min="3" max="3" width="63.85546875" style="17" customWidth="1"/>
    <col min="4" max="23" width="9.42578125" style="88" hidden="1" customWidth="1" outlineLevel="1"/>
    <col min="24" max="24" width="9.42578125" style="88" customWidth="1" collapsed="1"/>
    <col min="25" max="44" width="9.42578125" style="88" customWidth="1"/>
    <col min="45" max="16384" width="11.42578125" style="88"/>
  </cols>
  <sheetData>
    <row r="1" spans="2:44" s="83" customFormat="1" ht="23.25" customHeight="1">
      <c r="B1" s="79" t="s">
        <v>58</v>
      </c>
      <c r="C1" s="95" t="s">
        <v>67</v>
      </c>
      <c r="D1" s="96"/>
      <c r="E1" s="96"/>
      <c r="F1" s="96"/>
      <c r="G1" s="96"/>
      <c r="H1" s="96"/>
      <c r="I1" s="96"/>
      <c r="J1" s="96"/>
      <c r="K1" s="97"/>
      <c r="AK1" s="38"/>
      <c r="AL1" s="84"/>
    </row>
    <row r="2" spans="2:44" s="83" customFormat="1" ht="23.25" customHeight="1">
      <c r="B2" s="79" t="s">
        <v>56</v>
      </c>
      <c r="C2" s="95" t="s">
        <v>125</v>
      </c>
      <c r="D2" s="96"/>
      <c r="E2" s="96"/>
      <c r="F2" s="96"/>
      <c r="G2" s="96"/>
      <c r="H2" s="96"/>
      <c r="I2" s="96"/>
      <c r="J2" s="96"/>
      <c r="K2" s="97"/>
      <c r="AK2" s="38"/>
    </row>
    <row r="3" spans="2:44" s="83" customFormat="1" ht="23.25" customHeight="1">
      <c r="B3" s="79" t="s">
        <v>55</v>
      </c>
      <c r="C3" s="98">
        <f ca="1">TODAY()</f>
        <v>45727</v>
      </c>
      <c r="D3" s="99"/>
      <c r="E3" s="99"/>
      <c r="F3" s="99"/>
      <c r="G3" s="99"/>
      <c r="H3" s="99"/>
      <c r="I3" s="99"/>
      <c r="J3" s="99"/>
      <c r="K3" s="99"/>
      <c r="AK3" s="38"/>
    </row>
    <row r="4" spans="2:44" s="83" customFormat="1" ht="23.25" customHeight="1">
      <c r="B4" s="79" t="s">
        <v>54</v>
      </c>
      <c r="C4" s="95" t="s">
        <v>102</v>
      </c>
      <c r="D4" s="96"/>
      <c r="E4" s="96"/>
      <c r="F4" s="96"/>
      <c r="G4" s="96"/>
      <c r="H4" s="96"/>
      <c r="I4" s="96"/>
      <c r="J4" s="96"/>
      <c r="K4" s="97"/>
    </row>
    <row r="5" spans="2:44" s="83" customFormat="1" ht="23.25" customHeight="1">
      <c r="B5" s="79" t="s">
        <v>53</v>
      </c>
      <c r="C5" s="95" t="s">
        <v>65</v>
      </c>
      <c r="D5" s="96"/>
      <c r="E5" s="96"/>
      <c r="F5" s="96"/>
      <c r="G5" s="96"/>
      <c r="H5" s="96"/>
      <c r="I5" s="96"/>
      <c r="J5" s="96"/>
      <c r="K5" s="97"/>
    </row>
    <row r="6" spans="2:44" s="83" customFormat="1" ht="23.25" customHeight="1">
      <c r="B6" s="79" t="s">
        <v>52</v>
      </c>
      <c r="C6" s="95"/>
      <c r="D6" s="96"/>
      <c r="E6" s="96"/>
      <c r="F6" s="96"/>
      <c r="G6" s="96"/>
      <c r="H6" s="96"/>
      <c r="I6" s="96"/>
      <c r="J6" s="96"/>
      <c r="K6" s="97"/>
      <c r="AK6" s="38"/>
    </row>
    <row r="7" spans="2:44">
      <c r="B7" s="80"/>
      <c r="C7" s="81"/>
      <c r="D7" s="80"/>
      <c r="E7" s="80"/>
      <c r="F7" s="80"/>
      <c r="G7" s="80"/>
      <c r="H7" s="80"/>
      <c r="I7" s="80"/>
      <c r="J7" s="80"/>
      <c r="K7" s="80"/>
    </row>
    <row r="8" spans="2:44" ht="14.25" customHeight="1">
      <c r="B8" s="1"/>
      <c r="C8" s="11"/>
    </row>
    <row r="9" spans="2:44" ht="22.5" customHeight="1">
      <c r="B9" s="3"/>
      <c r="C9" s="12"/>
      <c r="D9" s="24"/>
      <c r="E9" s="2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69</v>
      </c>
      <c r="C10" s="13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ht="36.75" customHeight="1">
      <c r="B11" s="118" t="str">
        <f>THG!B33</f>
        <v>CRF 1.A.4.c - Stationäre &amp; mobile Feuerung</v>
      </c>
      <c r="C11" s="89" t="s">
        <v>63</v>
      </c>
      <c r="D11" s="101">
        <f>(THG!D33)/1000</f>
        <v>11.698809311507386</v>
      </c>
      <c r="E11" s="101">
        <f>(THG!E33)/1000</f>
        <v>9.9008482775322566</v>
      </c>
      <c r="F11" s="101">
        <f>(THG!F33)/1000</f>
        <v>9.3218158571339345</v>
      </c>
      <c r="G11" s="101">
        <f>(THG!G33)/1000</f>
        <v>9.7480762005030659</v>
      </c>
      <c r="H11" s="101">
        <f>(THG!H33)/1000</f>
        <v>9.6959756102560082</v>
      </c>
      <c r="I11" s="101">
        <f>(THG!I33)/1000</f>
        <v>9.9649103522289835</v>
      </c>
      <c r="J11" s="101">
        <f>(THG!J33)/1000</f>
        <v>11.02530694356839</v>
      </c>
      <c r="K11" s="101">
        <f>(THG!K33)/1000</f>
        <v>9.8463384282959119</v>
      </c>
      <c r="L11" s="101">
        <f>(THG!L33)/1000</f>
        <v>9.3286352005180451</v>
      </c>
      <c r="M11" s="101">
        <f>(THG!M33)/1000</f>
        <v>9.4374434289737721</v>
      </c>
      <c r="N11" s="101">
        <f>(THG!N33)/1000</f>
        <v>8.5594183276044902</v>
      </c>
      <c r="O11" s="101">
        <f>(THG!O33)/1000</f>
        <v>8.8002516675458331</v>
      </c>
      <c r="P11" s="101">
        <f>(THG!P33)/1000</f>
        <v>8.4912187851480834</v>
      </c>
      <c r="Q11" s="101">
        <f>(THG!Q33)/1000</f>
        <v>8.1240681355084927</v>
      </c>
      <c r="R11" s="101">
        <f>(THG!R33)/1000</f>
        <v>7.8926122229417492</v>
      </c>
      <c r="S11" s="101">
        <f>(THG!S33)/1000</f>
        <v>7.6390273009245924</v>
      </c>
      <c r="T11" s="101">
        <f>(THG!T33)/1000</f>
        <v>7.964656694512283</v>
      </c>
      <c r="U11" s="101">
        <f>(THG!U33)/1000</f>
        <v>7.2676105306044931</v>
      </c>
      <c r="V11" s="101">
        <f>(THG!V33)/1000</f>
        <v>7.7526592954101554</v>
      </c>
      <c r="W11" s="101">
        <f>(THG!W33)/1000</f>
        <v>7.2801703646495506</v>
      </c>
      <c r="X11" s="101">
        <f>(THG!X33)/1000</f>
        <v>7.7945635406249485</v>
      </c>
      <c r="Y11" s="101">
        <f>(THG!Y33)/1000</f>
        <v>8.3278571158537709</v>
      </c>
      <c r="Z11" s="101">
        <f>(THG!Z33)/1000</f>
        <v>7.9600537252762287</v>
      </c>
      <c r="AA11" s="101">
        <f>(THG!AA33)/1000</f>
        <v>8.0233398522928834</v>
      </c>
      <c r="AB11" s="101">
        <f>(THG!AB33)/1000</f>
        <v>8.5447179955571162</v>
      </c>
      <c r="AC11" s="101">
        <f>(THG!AC33)/1000</f>
        <v>8.3132974494333105</v>
      </c>
      <c r="AD11" s="101">
        <f>(THG!AD33)/1000</f>
        <v>8.4414402182532857</v>
      </c>
      <c r="AE11" s="101">
        <f>(THG!AE33)/1000</f>
        <v>7.8843264346500614</v>
      </c>
      <c r="AF11" s="101">
        <f>(THG!AF33)/1000</f>
        <v>7.9179379279530755</v>
      </c>
      <c r="AG11" s="101">
        <f>(THG!AG33)/1000</f>
        <v>7.8503752001666447</v>
      </c>
      <c r="AH11" s="172">
        <f>(THG!AH33)/1000</f>
        <v>8.1239666700996285</v>
      </c>
      <c r="AI11" s="172">
        <f>(THG!AI33)/1000</f>
        <v>8.3937430342932675</v>
      </c>
      <c r="AJ11" s="172">
        <f>(THG!AJ33)/1000</f>
        <v>8.247589451353269</v>
      </c>
      <c r="AK11" s="172">
        <f>(THG!AK33)/1000</f>
        <v>8.1678880628319579</v>
      </c>
      <c r="AL11" s="172">
        <f>(THG!AL33)/1000</f>
        <v>8.4354881511445434</v>
      </c>
      <c r="AM11" s="91"/>
      <c r="AN11" s="91"/>
      <c r="AO11" s="91"/>
      <c r="AP11" s="91"/>
      <c r="AQ11" s="91"/>
      <c r="AR11" s="91"/>
    </row>
    <row r="12" spans="2:44" ht="36.75" customHeight="1">
      <c r="B12" s="117" t="str">
        <f>THG!B34</f>
        <v>CRF 3.A - Landwirtschaft - Fermentation</v>
      </c>
      <c r="C12" s="14" t="s">
        <v>63</v>
      </c>
      <c r="D12" s="100">
        <f>(THG!D34)/1000</f>
        <v>37.303914802847082</v>
      </c>
      <c r="E12" s="100">
        <f>(THG!E34)/1000</f>
        <v>33.328260531744462</v>
      </c>
      <c r="F12" s="100">
        <f>(THG!F34)/1000</f>
        <v>32.5382457836687</v>
      </c>
      <c r="G12" s="100">
        <f>(THG!G34)/1000</f>
        <v>32.621602637011172</v>
      </c>
      <c r="H12" s="100">
        <f>(THG!H34)/1000</f>
        <v>32.828005957647719</v>
      </c>
      <c r="I12" s="100">
        <f>(THG!I34)/1000</f>
        <v>32.927885289260132</v>
      </c>
      <c r="J12" s="100">
        <f>(THG!J34)/1000</f>
        <v>32.980732675817876</v>
      </c>
      <c r="K12" s="100">
        <f>(THG!K34)/1000</f>
        <v>32.019170685648469</v>
      </c>
      <c r="L12" s="100">
        <f>(THG!L34)/1000</f>
        <v>31.795772415043306</v>
      </c>
      <c r="M12" s="100">
        <f>(THG!M34)/1000</f>
        <v>31.532817306550445</v>
      </c>
      <c r="N12" s="100">
        <f>(THG!N34)/1000</f>
        <v>31.02626307405048</v>
      </c>
      <c r="O12" s="100">
        <f>(THG!O34)/1000</f>
        <v>31.506855002072765</v>
      </c>
      <c r="P12" s="100">
        <f>(THG!P34)/1000</f>
        <v>30.295985731345198</v>
      </c>
      <c r="Q12" s="100">
        <f>(THG!Q34)/1000</f>
        <v>29.938653577526011</v>
      </c>
      <c r="R12" s="100">
        <f>(THG!R34)/1000</f>
        <v>29.120161712349741</v>
      </c>
      <c r="S12" s="100">
        <f>(THG!S34)/1000</f>
        <v>28.923591925626457</v>
      </c>
      <c r="T12" s="100">
        <f>(THG!T34)/1000</f>
        <v>28.357040568186203</v>
      </c>
      <c r="U12" s="100">
        <f>(THG!U34)/1000</f>
        <v>28.475368800870569</v>
      </c>
      <c r="V12" s="100">
        <f>(THG!V34)/1000</f>
        <v>28.705273903710211</v>
      </c>
      <c r="W12" s="100">
        <f>(THG!W34)/1000</f>
        <v>28.71393538039845</v>
      </c>
      <c r="X12" s="100">
        <f>(THG!X34)/1000</f>
        <v>28.53247120740393</v>
      </c>
      <c r="Y12" s="100">
        <f>(THG!Y34)/1000</f>
        <v>28.155945314903871</v>
      </c>
      <c r="Z12" s="100">
        <f>(THG!Z34)/1000</f>
        <v>28.163273131963606</v>
      </c>
      <c r="AA12" s="100">
        <f>(THG!AA34)/1000</f>
        <v>28.507578627677042</v>
      </c>
      <c r="AB12" s="100">
        <f>(THG!AB34)/1000</f>
        <v>28.742703133701891</v>
      </c>
      <c r="AC12" s="100">
        <f>(THG!AC34)/1000</f>
        <v>28.721441281620329</v>
      </c>
      <c r="AD12" s="100">
        <f>(THG!AD34)/1000</f>
        <v>28.434003751455798</v>
      </c>
      <c r="AE12" s="100">
        <f>(THG!AE34)/1000</f>
        <v>28.215544219039035</v>
      </c>
      <c r="AF12" s="100">
        <f>(THG!AF34)/1000</f>
        <v>27.790150005689931</v>
      </c>
      <c r="AG12" s="100">
        <f>(THG!AG34)/1000</f>
        <v>27.476871225137458</v>
      </c>
      <c r="AH12" s="171">
        <f>(THG!AH34)/1000</f>
        <v>27.0625176954435</v>
      </c>
      <c r="AI12" s="171">
        <f>(THG!AI34)/1000</f>
        <v>26.548185404291232</v>
      </c>
      <c r="AJ12" s="171">
        <f>(THG!AJ34)/1000</f>
        <v>26.305697604082898</v>
      </c>
      <c r="AK12" s="171">
        <f>(THG!AK34)/1000</f>
        <v>26.179433515408501</v>
      </c>
      <c r="AL12" s="171">
        <f>(THG!AL34)/1000</f>
        <v>25.421809326975048</v>
      </c>
      <c r="AM12" s="29"/>
      <c r="AN12" s="29"/>
      <c r="AO12" s="29"/>
      <c r="AP12" s="29"/>
      <c r="AQ12" s="29"/>
      <c r="AR12" s="29"/>
    </row>
    <row r="13" spans="2:44" ht="36.75" customHeight="1">
      <c r="B13" s="118" t="str">
        <f>THG!B35</f>
        <v>CRF 3.B - Landwirtschaft - Düngerwirtschaft</v>
      </c>
      <c r="C13" s="89" t="s">
        <v>63</v>
      </c>
      <c r="D13" s="101">
        <f>(THG!D35)/1000</f>
        <v>12.978107063593963</v>
      </c>
      <c r="E13" s="101">
        <f>(THG!E35)/1000</f>
        <v>11.591738906865039</v>
      </c>
      <c r="F13" s="101">
        <f>(THG!F35)/1000</f>
        <v>11.608701977562438</v>
      </c>
      <c r="G13" s="101">
        <f>(THG!G35)/1000</f>
        <v>11.683556722312181</v>
      </c>
      <c r="H13" s="101">
        <f>(THG!H35)/1000</f>
        <v>11.704554837092008</v>
      </c>
      <c r="I13" s="101">
        <f>(THG!I35)/1000</f>
        <v>11.723329225377972</v>
      </c>
      <c r="J13" s="101">
        <f>(THG!J35)/1000</f>
        <v>11.847248260899683</v>
      </c>
      <c r="K13" s="101">
        <f>(THG!K35)/1000</f>
        <v>11.651063285538493</v>
      </c>
      <c r="L13" s="101">
        <f>(THG!L35)/1000</f>
        <v>11.803754714243519</v>
      </c>
      <c r="M13" s="101">
        <f>(THG!M35)/1000</f>
        <v>11.692581438783565</v>
      </c>
      <c r="N13" s="101">
        <f>(THG!N35)/1000</f>
        <v>11.649201249432268</v>
      </c>
      <c r="O13" s="101">
        <f>(THG!O35)/1000</f>
        <v>11.825428001909868</v>
      </c>
      <c r="P13" s="101">
        <f>(THG!P35)/1000</f>
        <v>11.560482422616415</v>
      </c>
      <c r="Q13" s="101">
        <f>(THG!Q35)/1000</f>
        <v>11.599812852860548</v>
      </c>
      <c r="R13" s="101">
        <f>(THG!R35)/1000</f>
        <v>11.262762225632956</v>
      </c>
      <c r="S13" s="101">
        <f>(THG!S35)/1000</f>
        <v>11.184393279012761</v>
      </c>
      <c r="T13" s="101">
        <f>(THG!T35)/1000</f>
        <v>10.964280887075747</v>
      </c>
      <c r="U13" s="101">
        <f>(THG!U35)/1000</f>
        <v>11.011683942822275</v>
      </c>
      <c r="V13" s="101">
        <f>(THG!V35)/1000</f>
        <v>10.926048728008714</v>
      </c>
      <c r="W13" s="101">
        <f>(THG!W35)/1000</f>
        <v>10.886904655919942</v>
      </c>
      <c r="X13" s="101">
        <f>(THG!X35)/1000</f>
        <v>10.49504042746335</v>
      </c>
      <c r="Y13" s="101">
        <f>(THG!Y35)/1000</f>
        <v>10.390164907102442</v>
      </c>
      <c r="Z13" s="101">
        <f>(THG!Z35)/1000</f>
        <v>10.487578227949243</v>
      </c>
      <c r="AA13" s="101">
        <f>(THG!AA35)/1000</f>
        <v>10.534253864314618</v>
      </c>
      <c r="AB13" s="101">
        <f>(THG!AB35)/1000</f>
        <v>10.656711717714042</v>
      </c>
      <c r="AC13" s="101">
        <f>(THG!AC35)/1000</f>
        <v>10.606155759718218</v>
      </c>
      <c r="AD13" s="101">
        <f>(THG!AD35)/1000</f>
        <v>10.575533935221223</v>
      </c>
      <c r="AE13" s="101">
        <f>(THG!AE35)/1000</f>
        <v>10.57844560984365</v>
      </c>
      <c r="AF13" s="101">
        <f>(THG!AF35)/1000</f>
        <v>10.432703340154013</v>
      </c>
      <c r="AG13" s="101">
        <f>(THG!AG35)/1000</f>
        <v>10.374643648321795</v>
      </c>
      <c r="AH13" s="172">
        <f>(THG!AH35)/1000</f>
        <v>10.251428391478273</v>
      </c>
      <c r="AI13" s="172">
        <f>(THG!AI35)/1000</f>
        <v>9.8151404785593765</v>
      </c>
      <c r="AJ13" s="172">
        <f>(THG!AJ35)/1000</f>
        <v>9.3771043153825619</v>
      </c>
      <c r="AK13" s="172">
        <f>(THG!AK35)/1000</f>
        <v>9.3476529027537918</v>
      </c>
      <c r="AL13" s="172">
        <f>(THG!AL35)/1000</f>
        <v>9.1834497034571552</v>
      </c>
      <c r="AM13" s="91"/>
      <c r="AN13" s="91"/>
      <c r="AO13" s="91"/>
      <c r="AP13" s="91"/>
      <c r="AQ13" s="91"/>
      <c r="AR13" s="91"/>
    </row>
    <row r="14" spans="2:44" ht="36.75" customHeight="1">
      <c r="B14" s="119" t="str">
        <f>THG!B36</f>
        <v>CRF 3.D - Landwirtschaft - Landwirtschaftliche Böden</v>
      </c>
      <c r="C14" s="102" t="s">
        <v>63</v>
      </c>
      <c r="D14" s="100">
        <f>(THG!D36)/1000</f>
        <v>19.817454136616544</v>
      </c>
      <c r="E14" s="100">
        <f>(THG!E36)/1000</f>
        <v>18.695549020143165</v>
      </c>
      <c r="F14" s="100">
        <f>(THG!F36)/1000</f>
        <v>18.100974779883192</v>
      </c>
      <c r="G14" s="100">
        <f>(THG!G36)/1000</f>
        <v>17.379427399359795</v>
      </c>
      <c r="H14" s="100">
        <f>(THG!H36)/1000</f>
        <v>17.302266655632462</v>
      </c>
      <c r="I14" s="100">
        <f>(THG!I36)/1000</f>
        <v>17.321588299345315</v>
      </c>
      <c r="J14" s="100">
        <f>(THG!J36)/1000</f>
        <v>17.605106048659049</v>
      </c>
      <c r="K14" s="100">
        <f>(THG!K36)/1000</f>
        <v>17.471426477386707</v>
      </c>
      <c r="L14" s="100">
        <f>(THG!L36)/1000</f>
        <v>17.293895322800545</v>
      </c>
      <c r="M14" s="100">
        <f>(THG!M36)/1000</f>
        <v>18.008712489252776</v>
      </c>
      <c r="N14" s="100">
        <f>(THG!N36)/1000</f>
        <v>18.022285896778573</v>
      </c>
      <c r="O14" s="100">
        <f>(THG!O36)/1000</f>
        <v>17.811286446116931</v>
      </c>
      <c r="P14" s="100">
        <f>(THG!P36)/1000</f>
        <v>17.336314815045156</v>
      </c>
      <c r="Q14" s="100">
        <f>(THG!Q36)/1000</f>
        <v>17.635415967330665</v>
      </c>
      <c r="R14" s="100">
        <f>(THG!R36)/1000</f>
        <v>17.40086898877977</v>
      </c>
      <c r="S14" s="100">
        <f>(THG!S36)/1000</f>
        <v>17.553219824361733</v>
      </c>
      <c r="T14" s="100">
        <f>(THG!T36)/1000</f>
        <v>17.285955091250244</v>
      </c>
      <c r="U14" s="100">
        <f>(THG!U36)/1000</f>
        <v>17.311345344889936</v>
      </c>
      <c r="V14" s="100">
        <f>(THG!V36)/1000</f>
        <v>17.35031929027495</v>
      </c>
      <c r="W14" s="100">
        <f>(THG!W36)/1000</f>
        <v>17.51780293949022</v>
      </c>
      <c r="X14" s="100">
        <f>(THG!X36)/1000</f>
        <v>17.496175402670669</v>
      </c>
      <c r="Y14" s="100">
        <f>(THG!Y36)/1000</f>
        <v>17.789295957610964</v>
      </c>
      <c r="Z14" s="100">
        <f>(THG!Z36)/1000</f>
        <v>18.122976408676628</v>
      </c>
      <c r="AA14" s="100">
        <f>(THG!AA36)/1000</f>
        <v>18.275259300764418</v>
      </c>
      <c r="AB14" s="100">
        <f>(THG!AB36)/1000</f>
        <v>18.747273325638908</v>
      </c>
      <c r="AC14" s="100">
        <f>(THG!AC36)/1000</f>
        <v>18.77387461662294</v>
      </c>
      <c r="AD14" s="100">
        <f>(THG!AD36)/1000</f>
        <v>18.787899923786377</v>
      </c>
      <c r="AE14" s="100">
        <f>(THG!AE36)/1000</f>
        <v>18.070039503265907</v>
      </c>
      <c r="AF14" s="100">
        <f>(THG!AF36)/1000</f>
        <v>17.774482578994455</v>
      </c>
      <c r="AG14" s="100">
        <f>(THG!AG36)/1000</f>
        <v>17.18272493533734</v>
      </c>
      <c r="AH14" s="171">
        <f>(THG!AH36)/1000</f>
        <v>16.713893575311701</v>
      </c>
      <c r="AI14" s="171">
        <f>(THG!AI36)/1000</f>
        <v>16.081349148447899</v>
      </c>
      <c r="AJ14" s="171">
        <f>(THG!AJ36)/1000</f>
        <v>15.815881925574789</v>
      </c>
      <c r="AK14" s="171">
        <f>(THG!AK36)/1000</f>
        <v>15.16451869378391</v>
      </c>
      <c r="AL14" s="171">
        <f>(THG!AL36)/1000</f>
        <v>15.124592232107659</v>
      </c>
      <c r="AM14" s="29"/>
      <c r="AN14" s="29"/>
      <c r="AO14" s="29"/>
      <c r="AP14" s="29"/>
      <c r="AQ14" s="29"/>
      <c r="AR14" s="29"/>
    </row>
    <row r="15" spans="2:44" ht="36.75" customHeight="1">
      <c r="B15" s="118" t="str">
        <f>THG!B37</f>
        <v>CRF 3.G - Landwirtschaft - Kalkung</v>
      </c>
      <c r="C15" s="89" t="s">
        <v>63</v>
      </c>
      <c r="D15" s="101">
        <f>(THG!D37)/1000</f>
        <v>2.2000091746331907</v>
      </c>
      <c r="E15" s="101">
        <f>(THG!E37)/1000</f>
        <v>1.986576096973377</v>
      </c>
      <c r="F15" s="101">
        <f>(THG!F37)/1000</f>
        <v>1.7489646671605523</v>
      </c>
      <c r="G15" s="101">
        <f>(THG!G37)/1000</f>
        <v>1.4652322748345619</v>
      </c>
      <c r="H15" s="101">
        <f>(THG!H37)/1000</f>
        <v>1.3247076951720933</v>
      </c>
      <c r="I15" s="101">
        <f>(THG!I37)/1000</f>
        <v>1.2797427271810482</v>
      </c>
      <c r="J15" s="101">
        <f>(THG!J37)/1000</f>
        <v>1.3803173560578053</v>
      </c>
      <c r="K15" s="101">
        <f>(THG!K37)/1000</f>
        <v>1.4800880651919652</v>
      </c>
      <c r="L15" s="101">
        <f>(THG!L37)/1000</f>
        <v>1.5882379417548242</v>
      </c>
      <c r="M15" s="101">
        <f>(THG!M37)/1000</f>
        <v>1.7149480241525781</v>
      </c>
      <c r="N15" s="101">
        <f>(THG!N37)/1000</f>
        <v>1.6953908956279253</v>
      </c>
      <c r="O15" s="101">
        <f>(THG!O37)/1000</f>
        <v>1.6942857411657082</v>
      </c>
      <c r="P15" s="101">
        <f>(THG!P37)/1000</f>
        <v>1.5921183269642136</v>
      </c>
      <c r="Q15" s="101">
        <f>(THG!Q37)/1000</f>
        <v>1.5682396797721245</v>
      </c>
      <c r="R15" s="101">
        <f>(THG!R37)/1000</f>
        <v>1.4824714665403245</v>
      </c>
      <c r="S15" s="101">
        <f>(THG!S37)/1000</f>
        <v>1.427512953315917</v>
      </c>
      <c r="T15" s="101">
        <f>(THG!T37)/1000</f>
        <v>1.4384972361264712</v>
      </c>
      <c r="U15" s="101">
        <f>(THG!U37)/1000</f>
        <v>1.4771324157155898</v>
      </c>
      <c r="V15" s="101">
        <f>(THG!V37)/1000</f>
        <v>1.5447135040892246</v>
      </c>
      <c r="W15" s="101">
        <f>(THG!W37)/1000</f>
        <v>1.5219677557275462</v>
      </c>
      <c r="X15" s="101">
        <f>(THG!X37)/1000</f>
        <v>1.5490008412794591</v>
      </c>
      <c r="Y15" s="101">
        <f>(THG!Y37)/1000</f>
        <v>1.5932639130940478</v>
      </c>
      <c r="Z15" s="101">
        <f>(THG!Z37)/1000</f>
        <v>1.6920846129581979</v>
      </c>
      <c r="AA15" s="101">
        <f>(THG!AA37)/1000</f>
        <v>1.8245301506517635</v>
      </c>
      <c r="AB15" s="101">
        <f>(THG!AB37)/1000</f>
        <v>1.9172560062283042</v>
      </c>
      <c r="AC15" s="101">
        <f>(THG!AC37)/1000</f>
        <v>1.9057889653428215</v>
      </c>
      <c r="AD15" s="101">
        <f>(THG!AD37)/1000</f>
        <v>1.8817710978389952</v>
      </c>
      <c r="AE15" s="101">
        <f>(THG!AE37)/1000</f>
        <v>1.9376313819510826</v>
      </c>
      <c r="AF15" s="101">
        <f>(THG!AF37)/1000</f>
        <v>2.0474384710724456</v>
      </c>
      <c r="AG15" s="101">
        <f>(THG!AG37)/1000</f>
        <v>2.0388381471044408</v>
      </c>
      <c r="AH15" s="172">
        <f>(THG!AH37)/1000</f>
        <v>2.0097765735279882</v>
      </c>
      <c r="AI15" s="172">
        <f>(THG!AI37)/1000</f>
        <v>1.9826148498016076</v>
      </c>
      <c r="AJ15" s="172">
        <f>(THG!AJ37)/1000</f>
        <v>1.9946207401739058</v>
      </c>
      <c r="AK15" s="172">
        <f>(THG!AK37)/1000</f>
        <v>1.9601301645960274</v>
      </c>
      <c r="AL15" s="172">
        <f>(THG!AL37)/1000</f>
        <v>1.8339958969471077</v>
      </c>
      <c r="AM15" s="91"/>
      <c r="AN15" s="91"/>
      <c r="AO15" s="91"/>
      <c r="AP15" s="91"/>
      <c r="AQ15" s="91"/>
      <c r="AR15" s="91"/>
    </row>
    <row r="16" spans="2:44" ht="36.75" customHeight="1">
      <c r="B16" s="117" t="str">
        <f>THG!B38</f>
        <v>CRF 3.H - Landwirtschaft - Harnstoffanwendung</v>
      </c>
      <c r="C16" s="14" t="s">
        <v>63</v>
      </c>
      <c r="D16" s="100">
        <f>(THG!D38)/1000</f>
        <v>0.47999756126848592</v>
      </c>
      <c r="E16" s="100">
        <f>(THG!E38)/1000</f>
        <v>0.4370876781546571</v>
      </c>
      <c r="F16" s="100">
        <f>(THG!F38)/1000</f>
        <v>0.42755946715898802</v>
      </c>
      <c r="G16" s="100">
        <f>(THG!G38)/1000</f>
        <v>0.42213570376145343</v>
      </c>
      <c r="H16" s="100">
        <f>(THG!H38)/1000</f>
        <v>0.4485724991894367</v>
      </c>
      <c r="I16" s="100">
        <f>(THG!I38)/1000</f>
        <v>0.45853290458490925</v>
      </c>
      <c r="J16" s="100">
        <f>(THG!J38)/1000</f>
        <v>0.48476947595965025</v>
      </c>
      <c r="K16" s="100">
        <f>(THG!K38)/1000</f>
        <v>0.49780342831372576</v>
      </c>
      <c r="L16" s="100">
        <f>(THG!L38)/1000</f>
        <v>0.52410390455510425</v>
      </c>
      <c r="M16" s="100">
        <f>(THG!M38)/1000</f>
        <v>0.55155649974929244</v>
      </c>
      <c r="N16" s="100">
        <f>(THG!N38)/1000</f>
        <v>0.59313021403706201</v>
      </c>
      <c r="O16" s="100">
        <f>(THG!O38)/1000</f>
        <v>0.62165452353742978</v>
      </c>
      <c r="P16" s="100">
        <f>(THG!P38)/1000</f>
        <v>0.63995328540244545</v>
      </c>
      <c r="Q16" s="100">
        <f>(THG!Q38)/1000</f>
        <v>0.65010104734449958</v>
      </c>
      <c r="R16" s="100">
        <f>(THG!R38)/1000</f>
        <v>0.63430897589167778</v>
      </c>
      <c r="S16" s="100">
        <f>(THG!S38)/1000</f>
        <v>0.64109414255526032</v>
      </c>
      <c r="T16" s="100">
        <f>(THG!T38)/1000</f>
        <v>0.63093302353321212</v>
      </c>
      <c r="U16" s="100">
        <f>(THG!U38)/1000</f>
        <v>0.64756030921898766</v>
      </c>
      <c r="V16" s="100">
        <f>(THG!V38)/1000</f>
        <v>0.69462878537759287</v>
      </c>
      <c r="W16" s="100">
        <f>(THG!W38)/1000</f>
        <v>0.6767553568457173</v>
      </c>
      <c r="X16" s="100">
        <f>(THG!X38)/1000</f>
        <v>0.71075347585693016</v>
      </c>
      <c r="Y16" s="100">
        <f>(THG!Y38)/1000</f>
        <v>0.65402883303604753</v>
      </c>
      <c r="Z16" s="100">
        <f>(THG!Z38)/1000</f>
        <v>0.6899058568397396</v>
      </c>
      <c r="AA16" s="100">
        <f>(THG!AA38)/1000</f>
        <v>0.67255047587429517</v>
      </c>
      <c r="AB16" s="100">
        <f>(THG!AB38)/1000</f>
        <v>0.74970499965922499</v>
      </c>
      <c r="AC16" s="100">
        <f>(THG!AC38)/1000</f>
        <v>0.79149504757356282</v>
      </c>
      <c r="AD16" s="100">
        <f>(THG!AD38)/1000</f>
        <v>0.81514216629614755</v>
      </c>
      <c r="AE16" s="100">
        <f>(THG!AE38)/1000</f>
        <v>0.71956657113292433</v>
      </c>
      <c r="AF16" s="100">
        <f>(THG!AF38)/1000</f>
        <v>0.6052506425715527</v>
      </c>
      <c r="AG16" s="100">
        <f>(THG!AG38)/1000</f>
        <v>0.49774816644041742</v>
      </c>
      <c r="AH16" s="171">
        <f>(THG!AH38)/1000</f>
        <v>0.43326538077639454</v>
      </c>
      <c r="AI16" s="171">
        <f>(THG!AI38)/1000</f>
        <v>0.39729616648607746</v>
      </c>
      <c r="AJ16" s="171">
        <f>(THG!AJ38)/1000</f>
        <v>0.3669992855265154</v>
      </c>
      <c r="AK16" s="171">
        <f>(THG!AK38)/1000</f>
        <v>0.36008369032299226</v>
      </c>
      <c r="AL16" s="171">
        <f>(THG!AL38)/1000</f>
        <v>0.33020585700323973</v>
      </c>
      <c r="AM16" s="29"/>
      <c r="AN16" s="29"/>
      <c r="AO16" s="29"/>
      <c r="AP16" s="29"/>
      <c r="AQ16" s="29"/>
      <c r="AR16" s="29"/>
    </row>
    <row r="17" spans="2:44" ht="36.75" customHeight="1">
      <c r="B17" s="118" t="str">
        <f>THG!B39</f>
        <v>CRF 3.I - Landwirtschaft - Andere kohlenstoffhaltige Düngemittel</v>
      </c>
      <c r="C17" s="89" t="s">
        <v>63</v>
      </c>
      <c r="D17" s="101">
        <f>(THG!D39)/1000</f>
        <v>0.51044657839999996</v>
      </c>
      <c r="E17" s="101">
        <f>(THG!E39)/1000</f>
        <v>0.47364564587999991</v>
      </c>
      <c r="F17" s="101">
        <f>(THG!F39)/1000</f>
        <v>0.44882474999999999</v>
      </c>
      <c r="G17" s="101">
        <f>(THG!G39)/1000</f>
        <v>0.415200038396</v>
      </c>
      <c r="H17" s="101">
        <f>(THG!H39)/1000</f>
        <v>0.40208593853999991</v>
      </c>
      <c r="I17" s="101">
        <f>(THG!I39)/1000</f>
        <v>0.38949462173600002</v>
      </c>
      <c r="J17" s="101">
        <f>(THG!J39)/1000</f>
        <v>0.39062263613999992</v>
      </c>
      <c r="K17" s="101">
        <f>(THG!K39)/1000</f>
        <v>0.37744347695999997</v>
      </c>
      <c r="L17" s="101">
        <f>(THG!L39)/1000</f>
        <v>0.37060261928800003</v>
      </c>
      <c r="M17" s="101">
        <f>(THG!M39)/1000</f>
        <v>0.37758292378399994</v>
      </c>
      <c r="N17" s="101">
        <f>(THG!N39)/1000</f>
        <v>0.36662832148800001</v>
      </c>
      <c r="O17" s="101">
        <f>(THG!O39)/1000</f>
        <v>0.34901621985999992</v>
      </c>
      <c r="P17" s="101">
        <f>(THG!P39)/1000</f>
        <v>0.319796815008</v>
      </c>
      <c r="Q17" s="101">
        <f>(THG!Q39)/1000</f>
        <v>0.31216542675999998</v>
      </c>
      <c r="R17" s="101">
        <f>(THG!R39)/1000</f>
        <v>0.30977691716399997</v>
      </c>
      <c r="S17" s="101">
        <f>(THG!S39)/1000</f>
        <v>0.30753183511599996</v>
      </c>
      <c r="T17" s="101">
        <f>(THG!T39)/1000</f>
        <v>0.28576120658800003</v>
      </c>
      <c r="U17" s="101">
        <f>(THG!U39)/1000</f>
        <v>0.28291231086800001</v>
      </c>
      <c r="V17" s="101">
        <f>(THG!V39)/1000</f>
        <v>0.26072744675999998</v>
      </c>
      <c r="W17" s="101">
        <f>(THG!W39)/1000</f>
        <v>0.26726851228000004</v>
      </c>
      <c r="X17" s="101">
        <f>(THG!X39)/1000</f>
        <v>0.25723667252799998</v>
      </c>
      <c r="Y17" s="101">
        <f>(THG!Y39)/1000</f>
        <v>0.26410290675999998</v>
      </c>
      <c r="Z17" s="101">
        <f>(THG!Z39)/1000</f>
        <v>0.253914204852</v>
      </c>
      <c r="AA17" s="101">
        <f>(THG!AA39)/1000</f>
        <v>0.24028784538</v>
      </c>
      <c r="AB17" s="101">
        <f>(THG!AB39)/1000</f>
        <v>0.23622273914799999</v>
      </c>
      <c r="AC17" s="101">
        <f>(THG!AC39)/1000</f>
        <v>0.23067260471200002</v>
      </c>
      <c r="AD17" s="101">
        <f>(THG!AD39)/1000</f>
        <v>0.225715710264</v>
      </c>
      <c r="AE17" s="101">
        <f>(THG!AE39)/1000</f>
        <v>0.21303624601600002</v>
      </c>
      <c r="AF17" s="101">
        <f>(THG!AF39)/1000</f>
        <v>0.20270871922399999</v>
      </c>
      <c r="AG17" s="101">
        <f>(THG!AG39)/1000</f>
        <v>0.19421726350399998</v>
      </c>
      <c r="AH17" s="172">
        <f>(THG!AH39)/1000</f>
        <v>0.18545922916399998</v>
      </c>
      <c r="AI17" s="172">
        <f>(THG!AI39)/1000</f>
        <v>0.17554705748800001</v>
      </c>
      <c r="AJ17" s="172">
        <f>(THG!AJ39)/1000</f>
        <v>0.157481660248</v>
      </c>
      <c r="AK17" s="172">
        <f>(THG!AK39)/1000</f>
        <v>0.14363226046399999</v>
      </c>
      <c r="AL17" s="172">
        <f>(THG!AL39)/1000</f>
        <v>0.1448050571</v>
      </c>
      <c r="AM17" s="91"/>
      <c r="AN17" s="91"/>
      <c r="AO17" s="91"/>
      <c r="AP17" s="91"/>
      <c r="AQ17" s="91"/>
      <c r="AR17" s="91"/>
    </row>
    <row r="18" spans="2:44" ht="36.75" customHeight="1">
      <c r="B18" s="119" t="str">
        <f>THG!B40</f>
        <v>CRF 3.J - Andere</v>
      </c>
      <c r="C18" s="102" t="s">
        <v>63</v>
      </c>
      <c r="D18" s="100">
        <f>(THG!D40)/1000</f>
        <v>4.2052832874842658E-4</v>
      </c>
      <c r="E18" s="100">
        <f>(THG!E40)/1000</f>
        <v>1.0167535730658251E-3</v>
      </c>
      <c r="F18" s="100">
        <f>(THG!F40)/1000</f>
        <v>1.3694793071987016E-3</v>
      </c>
      <c r="G18" s="100">
        <f>(THG!G40)/1000</f>
        <v>1.7782841479351953E-3</v>
      </c>
      <c r="H18" s="100">
        <f>(THG!H40)/1000</f>
        <v>2.1833587655049583E-3</v>
      </c>
      <c r="I18" s="100">
        <f>(THG!I40)/1000</f>
        <v>5.2868928865074096E-3</v>
      </c>
      <c r="J18" s="100">
        <f>(THG!J40)/1000</f>
        <v>8.7715221152444948E-3</v>
      </c>
      <c r="K18" s="100">
        <f>(THG!K40)/1000</f>
        <v>1.1059970698655401E-2</v>
      </c>
      <c r="L18" s="100">
        <f>(THG!L40)/1000</f>
        <v>2.4915884279258435E-2</v>
      </c>
      <c r="M18" s="100">
        <f>(THG!M40)/1000</f>
        <v>2.8261962704930185E-2</v>
      </c>
      <c r="N18" s="100">
        <f>(THG!N40)/1000</f>
        <v>4.4780607062505556E-2</v>
      </c>
      <c r="O18" s="100">
        <f>(THG!O40)/1000</f>
        <v>6.3430497862210791E-2</v>
      </c>
      <c r="P18" s="100">
        <f>(THG!P40)/1000</f>
        <v>9.1005041028818651E-2</v>
      </c>
      <c r="Q18" s="100">
        <f>(THG!Q40)/1000</f>
        <v>0.10725849095722532</v>
      </c>
      <c r="R18" s="100">
        <f>(THG!R40)/1000</f>
        <v>0.13836343094979078</v>
      </c>
      <c r="S18" s="100">
        <f>(THG!S40)/1000</f>
        <v>0.36602915178506862</v>
      </c>
      <c r="T18" s="100">
        <f>(THG!T40)/1000</f>
        <v>0.50003075644520623</v>
      </c>
      <c r="U18" s="100">
        <f>(THG!U40)/1000</f>
        <v>0.66408938467058187</v>
      </c>
      <c r="V18" s="100">
        <f>(THG!V40)/1000</f>
        <v>0.7524294603037488</v>
      </c>
      <c r="W18" s="100">
        <f>(THG!W40)/1000</f>
        <v>0.93740399383521966</v>
      </c>
      <c r="X18" s="100">
        <f>(THG!X40)/1000</f>
        <v>1.1444910048528245</v>
      </c>
      <c r="Y18" s="100">
        <f>(THG!Y40)/1000</f>
        <v>1.3831921651114185</v>
      </c>
      <c r="Z18" s="100">
        <f>(THG!Z40)/1000</f>
        <v>1.4045219897341621</v>
      </c>
      <c r="AA18" s="100">
        <f>(THG!AA40)/1000</f>
        <v>1.6801232693857429</v>
      </c>
      <c r="AB18" s="100">
        <f>(THG!AB40)/1000</f>
        <v>1.7356160245531322</v>
      </c>
      <c r="AC18" s="100">
        <f>(THG!AC40)/1000</f>
        <v>1.7792109982246587</v>
      </c>
      <c r="AD18" s="100">
        <f>(THG!AD40)/1000</f>
        <v>1.7463122479056101</v>
      </c>
      <c r="AE18" s="100">
        <f>(THG!AE40)/1000</f>
        <v>1.6964453257936349</v>
      </c>
      <c r="AF18" s="100">
        <f>(THG!AF40)/1000</f>
        <v>1.6491503786518822</v>
      </c>
      <c r="AG18" s="100">
        <f>(THG!AG40)/1000</f>
        <v>1.6048582067931096</v>
      </c>
      <c r="AH18" s="171">
        <f>(THG!AH40)/1000</f>
        <v>1.5938325961412312</v>
      </c>
      <c r="AI18" s="171">
        <f>(THG!AI40)/1000</f>
        <v>1.5172033447236006</v>
      </c>
      <c r="AJ18" s="171">
        <f>(THG!AJ40)/1000</f>
        <v>1.636647398537026</v>
      </c>
      <c r="AK18" s="171">
        <f>(THG!AK40)/1000</f>
        <v>1.636647398537026</v>
      </c>
      <c r="AL18" s="171">
        <f>(THG!AL40)/1000</f>
        <v>1.636647398537026</v>
      </c>
      <c r="AM18" s="29"/>
      <c r="AN18" s="29"/>
      <c r="AO18" s="29"/>
      <c r="AP18" s="29"/>
      <c r="AQ18" s="29"/>
      <c r="AR18" s="29"/>
    </row>
    <row r="19" spans="2:44" ht="18.75" customHeight="1">
      <c r="B19" s="5" t="str">
        <f>THG!B32</f>
        <v>5 - Landwirtschaft</v>
      </c>
      <c r="C19" s="20" t="s">
        <v>63</v>
      </c>
      <c r="D19" s="21">
        <f>(THG!D32)/1000</f>
        <v>84.989159157195388</v>
      </c>
      <c r="E19" s="21">
        <f>(THG!E32)/1000</f>
        <v>76.414722910866018</v>
      </c>
      <c r="F19" s="21">
        <f>(THG!F32)/1000</f>
        <v>74.196456761874998</v>
      </c>
      <c r="G19" s="21">
        <f>(THG!G32)/1000</f>
        <v>73.737009260326161</v>
      </c>
      <c r="H19" s="21">
        <f>(THG!H32)/1000</f>
        <v>73.708352552295224</v>
      </c>
      <c r="I19" s="21">
        <f>(THG!I32)/1000</f>
        <v>74.070770312600871</v>
      </c>
      <c r="J19" s="21">
        <f>(THG!J32)/1000</f>
        <v>75.722874919217702</v>
      </c>
      <c r="K19" s="21">
        <f>(THG!K32)/1000</f>
        <v>73.354393818033927</v>
      </c>
      <c r="L19" s="21">
        <f>(THG!L32)/1000</f>
        <v>72.729918002482592</v>
      </c>
      <c r="M19" s="21">
        <f>(THG!M32)/1000</f>
        <v>73.34390407395135</v>
      </c>
      <c r="N19" s="21">
        <f>(THG!N32)/1000</f>
        <v>71.957098586081315</v>
      </c>
      <c r="O19" s="21">
        <f>(THG!O32)/1000</f>
        <v>72.672208100070733</v>
      </c>
      <c r="P19" s="21">
        <f>(THG!P32)/1000</f>
        <v>70.326875222558328</v>
      </c>
      <c r="Q19" s="21">
        <f>(THG!Q32)/1000</f>
        <v>69.935715178059596</v>
      </c>
      <c r="R19" s="21">
        <f>(THG!R32)/1000</f>
        <v>68.241325940250007</v>
      </c>
      <c r="S19" s="21">
        <f>(THG!S32)/1000</f>
        <v>68.042400412697788</v>
      </c>
      <c r="T19" s="21">
        <f>(THG!T32)/1000</f>
        <v>67.427155463717369</v>
      </c>
      <c r="U19" s="21">
        <f>(THG!U32)/1000</f>
        <v>67.137703039660437</v>
      </c>
      <c r="V19" s="21">
        <f>(THG!V32)/1000</f>
        <v>67.986800413934574</v>
      </c>
      <c r="W19" s="21">
        <f>(THG!W32)/1000</f>
        <v>67.802208959146654</v>
      </c>
      <c r="X19" s="21">
        <f>(THG!X32)/1000</f>
        <v>67.979732572680106</v>
      </c>
      <c r="Y19" s="21">
        <f>(THG!Y32)/1000</f>
        <v>68.557851113472566</v>
      </c>
      <c r="Z19" s="21">
        <f>(THG!Z32)/1000</f>
        <v>68.774308158249795</v>
      </c>
      <c r="AA19" s="21">
        <f>(THG!AA32)/1000</f>
        <v>69.757923386340764</v>
      </c>
      <c r="AB19" s="21">
        <f>(THG!AB32)/1000</f>
        <v>71.330205942200607</v>
      </c>
      <c r="AC19" s="21">
        <f>(THG!AC32)/1000</f>
        <v>71.121936723247856</v>
      </c>
      <c r="AD19" s="21">
        <f>(THG!AD32)/1000</f>
        <v>70.907819051021434</v>
      </c>
      <c r="AE19" s="21">
        <f>(THG!AE32)/1000</f>
        <v>69.315035291692283</v>
      </c>
      <c r="AF19" s="21">
        <f>(THG!AF32)/1000</f>
        <v>68.419822064311361</v>
      </c>
      <c r="AG19" s="21">
        <f>(THG!AG32)/1000</f>
        <v>67.220276792805208</v>
      </c>
      <c r="AH19" s="164">
        <f>(THG!AH32)/1000</f>
        <v>66.374140111942722</v>
      </c>
      <c r="AI19" s="164">
        <f>(THG!AI32)/1000</f>
        <v>64.911079484091061</v>
      </c>
      <c r="AJ19" s="164">
        <f>(THG!AJ32)/1000</f>
        <v>63.902022380878968</v>
      </c>
      <c r="AK19" s="164">
        <f>(THG!AK32)/1000</f>
        <v>62.959986688698208</v>
      </c>
      <c r="AL19" s="164">
        <f>(THG!AL32)/1000</f>
        <v>62.110993623271767</v>
      </c>
      <c r="AM19" s="27"/>
      <c r="AN19" s="27"/>
      <c r="AO19" s="27"/>
      <c r="AP19" s="27"/>
      <c r="AQ19" s="27"/>
      <c r="AR19" s="27"/>
    </row>
    <row r="20" spans="2:44" ht="18.75" customHeight="1">
      <c r="B20" s="90"/>
      <c r="C20" s="89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</row>
    <row r="21" spans="2:44" s="10" customFormat="1" ht="18.75" customHeight="1">
      <c r="B21" s="5" t="s">
        <v>15</v>
      </c>
      <c r="C21" s="20" t="str">
        <f>'Daten Zielpfadgrafik'!C27</f>
        <v>aktueller Zielpfad**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1">
        <f>'Daten Zielpfadgrafik'!AH27</f>
        <v>70</v>
      </c>
      <c r="AI21" s="21">
        <f>'Daten Zielpfadgrafik'!AI27</f>
        <v>68</v>
      </c>
      <c r="AJ21" s="21">
        <f>'Daten Zielpfadgrafik'!AJ27</f>
        <v>67.592627518947467</v>
      </c>
      <c r="AK21" s="21">
        <f>'Daten Zielpfadgrafik'!AK27</f>
        <v>67.362442884434003</v>
      </c>
      <c r="AL21" s="21">
        <f>'Daten Zielpfadgrafik'!AL27</f>
        <v>66.991365198110543</v>
      </c>
      <c r="AM21" s="21">
        <f>'Daten Zielpfadgrafik'!AM27</f>
        <v>65.804760460583651</v>
      </c>
      <c r="AN21" s="21">
        <f>'Daten Zielpfadgrafik'!AN27</f>
        <v>64.804760460583651</v>
      </c>
      <c r="AO21" s="21">
        <f>'Daten Zielpfadgrafik'!AO27</f>
        <v>63.804760460583658</v>
      </c>
      <c r="AP21" s="21">
        <f>'Daten Zielpfadgrafik'!AP27</f>
        <v>61.804760460583658</v>
      </c>
      <c r="AQ21" s="21">
        <f>'Daten Zielpfadgrafik'!AQ27</f>
        <v>59.804760460583658</v>
      </c>
      <c r="AR21" s="21">
        <f>'Daten Zielpfadgrafik'!AR27</f>
        <v>58.804760460583658</v>
      </c>
    </row>
    <row r="22" spans="2:44" ht="14.25" customHeight="1">
      <c r="B22" s="7"/>
      <c r="C22" s="16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3C9C1-F2D5-42EE-AD0F-32F94D656A4E}">
  <sheetPr>
    <tabColor theme="8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1" customWidth="1"/>
    <col min="2" max="2" width="4.28515625" style="41" customWidth="1"/>
    <col min="3" max="3" width="1.7109375" style="41" customWidth="1"/>
    <col min="4" max="4" width="14" style="41" customWidth="1"/>
    <col min="5" max="5" width="1.7109375" style="41" customWidth="1"/>
    <col min="6" max="6" width="14" style="41" customWidth="1"/>
    <col min="7" max="7" width="1.7109375" style="41" customWidth="1"/>
    <col min="8" max="8" width="14" style="41" customWidth="1"/>
    <col min="9" max="9" width="1.7109375" style="41" customWidth="1"/>
    <col min="10" max="10" width="14" style="41" customWidth="1"/>
    <col min="11" max="11" width="1.7109375" style="41" customWidth="1"/>
    <col min="12" max="12" width="14" style="41" customWidth="1"/>
    <col min="13" max="13" width="3.140625" style="41" customWidth="1"/>
    <col min="14" max="14" width="1.42578125" style="41" customWidth="1"/>
    <col min="15" max="15" width="15.140625" style="41" customWidth="1"/>
    <col min="16" max="16" width="2.5703125" style="42" customWidth="1"/>
    <col min="17" max="19" width="11.7109375" style="42" customWidth="1"/>
    <col min="20" max="20" width="4" style="42" customWidth="1"/>
    <col min="21" max="22" width="11.7109375" style="42" customWidth="1"/>
    <col min="23" max="23" width="19.140625" style="42" customWidth="1"/>
    <col min="24" max="24" width="2.5703125" style="42" customWidth="1"/>
    <col min="25" max="16384" width="11.42578125" style="42"/>
  </cols>
  <sheetData>
    <row r="1" spans="1:24" ht="20.25" customHeight="1">
      <c r="A1" s="40"/>
    </row>
    <row r="2" spans="1:24" ht="20.2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P2" s="225" t="s">
        <v>62</v>
      </c>
      <c r="Q2" s="226"/>
      <c r="R2" s="226"/>
      <c r="S2" s="226"/>
      <c r="T2" s="226"/>
      <c r="U2" s="226"/>
      <c r="V2" s="226"/>
      <c r="W2" s="226"/>
      <c r="X2" s="227"/>
    </row>
    <row r="3" spans="1:24" ht="18.7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P3" s="45"/>
      <c r="Q3" s="46"/>
      <c r="R3" s="47"/>
      <c r="S3" s="46"/>
      <c r="T3" s="46"/>
      <c r="U3" s="47"/>
      <c r="V3" s="46"/>
      <c r="W3" s="46"/>
      <c r="X3" s="48"/>
    </row>
    <row r="4" spans="1:24" ht="15.9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P4" s="45"/>
      <c r="Q4" s="46"/>
      <c r="R4" s="46"/>
      <c r="S4" s="46"/>
      <c r="T4" s="46"/>
      <c r="U4" s="46"/>
      <c r="V4" s="46"/>
      <c r="W4" s="46"/>
      <c r="X4" s="48"/>
    </row>
    <row r="5" spans="1:24" ht="7.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P5" s="50"/>
      <c r="Q5" s="51"/>
      <c r="R5" s="51"/>
      <c r="S5" s="51"/>
      <c r="T5" s="51"/>
      <c r="U5" s="51"/>
      <c r="V5" s="51"/>
      <c r="W5" s="51"/>
      <c r="X5" s="52"/>
    </row>
    <row r="6" spans="1:24" ht="16.5" customHeight="1">
      <c r="B6" s="53"/>
      <c r="P6" s="50"/>
      <c r="Q6" s="51"/>
      <c r="R6" s="51"/>
      <c r="S6" s="51"/>
      <c r="T6" s="51"/>
      <c r="U6" s="51"/>
      <c r="V6" s="51"/>
      <c r="W6" s="51"/>
      <c r="X6" s="52"/>
    </row>
    <row r="7" spans="1:24" ht="16.5" customHeight="1">
      <c r="B7" s="53"/>
      <c r="P7" s="50"/>
      <c r="Q7" s="51"/>
      <c r="R7" s="51"/>
      <c r="S7" s="51"/>
      <c r="T7" s="51"/>
      <c r="U7" s="51"/>
      <c r="V7" s="51"/>
      <c r="W7" s="51"/>
      <c r="X7" s="52"/>
    </row>
    <row r="8" spans="1:24" ht="16.5" customHeight="1">
      <c r="B8" s="53"/>
      <c r="P8" s="50"/>
      <c r="Q8" s="51"/>
      <c r="R8" s="51"/>
      <c r="S8" s="51"/>
      <c r="T8" s="51"/>
      <c r="U8" s="51"/>
      <c r="V8" s="51"/>
      <c r="W8" s="51"/>
      <c r="X8" s="52"/>
    </row>
    <row r="9" spans="1:24" ht="16.5" customHeight="1">
      <c r="B9" s="53"/>
      <c r="P9" s="50"/>
      <c r="Q9" s="51"/>
      <c r="R9" s="51"/>
      <c r="S9" s="51"/>
      <c r="T9" s="51"/>
      <c r="U9" s="51"/>
      <c r="V9" s="51"/>
      <c r="W9" s="51"/>
      <c r="X9" s="52"/>
    </row>
    <row r="10" spans="1:24" ht="16.5" customHeight="1">
      <c r="B10" s="53"/>
      <c r="P10" s="50"/>
      <c r="Q10" s="51"/>
      <c r="R10" s="51"/>
      <c r="S10" s="51"/>
      <c r="T10" s="51"/>
      <c r="U10" s="51"/>
      <c r="V10" s="51"/>
      <c r="W10" s="51"/>
      <c r="X10" s="52"/>
    </row>
    <row r="11" spans="1:24" ht="16.5" customHeight="1">
      <c r="B11" s="53"/>
      <c r="P11" s="50"/>
      <c r="Q11" s="54" t="s">
        <v>61</v>
      </c>
      <c r="R11" s="51"/>
      <c r="S11" s="51"/>
      <c r="T11" s="51"/>
      <c r="U11" s="51"/>
      <c r="V11" s="51"/>
      <c r="W11" s="51"/>
      <c r="X11" s="52"/>
    </row>
    <row r="12" spans="1:24" ht="16.5" customHeight="1">
      <c r="B12" s="53"/>
      <c r="P12" s="50"/>
      <c r="Q12" s="51"/>
      <c r="R12" s="51"/>
      <c r="S12" s="51"/>
      <c r="T12" s="51"/>
      <c r="U12" s="51"/>
      <c r="V12" s="51"/>
      <c r="W12" s="51"/>
      <c r="X12" s="52"/>
    </row>
    <row r="13" spans="1:24" ht="17.25" customHeight="1">
      <c r="B13" s="53"/>
      <c r="P13" s="50"/>
      <c r="Q13" s="54" t="s">
        <v>60</v>
      </c>
      <c r="R13" s="51"/>
      <c r="S13" s="51"/>
      <c r="T13" s="51"/>
      <c r="U13" s="51"/>
      <c r="V13" s="51"/>
      <c r="W13" s="51"/>
      <c r="X13" s="52"/>
    </row>
    <row r="14" spans="1:24" ht="16.5" customHeight="1">
      <c r="B14" s="53"/>
      <c r="P14" s="50"/>
      <c r="Q14" s="51"/>
      <c r="R14" s="51"/>
      <c r="S14" s="51"/>
      <c r="T14" s="51"/>
      <c r="U14" s="51"/>
      <c r="V14" s="51"/>
      <c r="W14" s="51"/>
      <c r="X14" s="52"/>
    </row>
    <row r="15" spans="1:24" ht="16.5" customHeight="1">
      <c r="A15" s="55"/>
      <c r="B15" s="5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0"/>
      <c r="Q15" s="51"/>
      <c r="R15" s="54" t="s">
        <v>59</v>
      </c>
      <c r="S15" s="51"/>
      <c r="T15" s="51"/>
      <c r="U15" s="54" t="s">
        <v>59</v>
      </c>
      <c r="V15" s="51"/>
      <c r="W15" s="51"/>
      <c r="X15" s="52"/>
    </row>
    <row r="16" spans="1:24" ht="16.5" customHeight="1">
      <c r="A16" s="55"/>
      <c r="B16" s="56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0"/>
      <c r="Q16" s="51"/>
      <c r="R16" s="51"/>
      <c r="S16" s="51"/>
      <c r="T16" s="51"/>
      <c r="U16" s="51"/>
      <c r="V16" s="51"/>
      <c r="W16" s="51"/>
      <c r="X16" s="52"/>
    </row>
    <row r="17" spans="1:24" ht="16.5" customHeight="1">
      <c r="A17" s="55"/>
      <c r="B17" s="56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0"/>
      <c r="Q17" s="51"/>
      <c r="R17" s="51"/>
      <c r="S17" s="51"/>
      <c r="T17" s="51"/>
      <c r="U17" s="51"/>
      <c r="V17" s="51"/>
      <c r="W17" s="51"/>
      <c r="X17" s="52"/>
    </row>
    <row r="18" spans="1:24" ht="22.5" customHeight="1">
      <c r="A18" s="55"/>
      <c r="B18" s="56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0"/>
      <c r="Q18" s="51"/>
      <c r="R18" s="51"/>
      <c r="S18" s="51"/>
      <c r="T18" s="51"/>
      <c r="U18" s="51"/>
      <c r="V18" s="51"/>
      <c r="W18" s="51"/>
      <c r="X18" s="52"/>
    </row>
    <row r="19" spans="1:24" ht="87" customHeight="1">
      <c r="A19" s="57"/>
      <c r="B19" s="58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5"/>
      <c r="O19" s="55"/>
      <c r="P19" s="59"/>
      <c r="Q19" s="60"/>
      <c r="R19" s="60"/>
      <c r="S19" s="60"/>
      <c r="T19" s="60"/>
      <c r="U19" s="60"/>
      <c r="V19" s="60"/>
      <c r="W19" s="60"/>
      <c r="X19" s="61"/>
    </row>
    <row r="20" spans="1:24" ht="9" customHeight="1">
      <c r="A20" s="57"/>
      <c r="B20" s="58"/>
      <c r="C20" s="57"/>
      <c r="D20" s="224"/>
      <c r="E20" s="57"/>
      <c r="F20" s="224"/>
      <c r="G20" s="57"/>
      <c r="H20" s="224"/>
      <c r="I20" s="57"/>
      <c r="J20" s="224"/>
      <c r="K20" s="57"/>
      <c r="L20" s="224"/>
      <c r="M20" s="57"/>
      <c r="N20" s="55"/>
      <c r="O20" s="55"/>
    </row>
    <row r="21" spans="1:24" ht="11.25" customHeight="1">
      <c r="A21" s="57"/>
      <c r="B21" s="58"/>
      <c r="C21" s="57"/>
      <c r="D21" s="224"/>
      <c r="E21" s="57"/>
      <c r="F21" s="224"/>
      <c r="G21" s="57"/>
      <c r="H21" s="224"/>
      <c r="I21" s="57"/>
      <c r="J21" s="224"/>
      <c r="K21" s="57"/>
      <c r="L21" s="224"/>
      <c r="M21" s="57"/>
      <c r="N21" s="55"/>
      <c r="O21" s="55"/>
    </row>
    <row r="22" spans="1:24" ht="3.75" customHeight="1">
      <c r="A22" s="57"/>
      <c r="B22" s="58"/>
      <c r="C22" s="57"/>
      <c r="D22" s="94"/>
      <c r="E22" s="57"/>
      <c r="F22" s="94"/>
      <c r="G22" s="57"/>
      <c r="H22" s="94"/>
      <c r="I22" s="57"/>
      <c r="J22" s="94"/>
      <c r="K22" s="57"/>
      <c r="L22" s="94"/>
      <c r="M22" s="57"/>
      <c r="N22" s="55"/>
      <c r="O22" s="55"/>
    </row>
    <row r="23" spans="1:24" ht="9" customHeight="1">
      <c r="A23" s="57"/>
      <c r="B23" s="58"/>
      <c r="C23" s="57"/>
      <c r="D23" s="224"/>
      <c r="E23" s="57"/>
      <c r="F23" s="224"/>
      <c r="G23" s="57"/>
      <c r="H23" s="224"/>
      <c r="I23" s="57"/>
      <c r="J23" s="224"/>
      <c r="K23" s="57"/>
      <c r="L23" s="224"/>
      <c r="M23" s="57"/>
      <c r="N23" s="55"/>
      <c r="O23" s="55"/>
    </row>
    <row r="24" spans="1:24" ht="9" customHeight="1">
      <c r="A24" s="57"/>
      <c r="B24" s="58"/>
      <c r="C24" s="57"/>
      <c r="D24" s="224"/>
      <c r="E24" s="57"/>
      <c r="F24" s="224"/>
      <c r="G24" s="57"/>
      <c r="H24" s="224"/>
      <c r="I24" s="57"/>
      <c r="J24" s="224"/>
      <c r="K24" s="57"/>
      <c r="L24" s="224"/>
      <c r="M24" s="57"/>
      <c r="N24" s="55"/>
      <c r="O24" s="55"/>
    </row>
    <row r="25" spans="1:24" ht="16.5" customHeight="1">
      <c r="A25" s="55"/>
      <c r="B25" s="56"/>
      <c r="C25" s="63"/>
      <c r="D25" s="63"/>
      <c r="E25" s="63"/>
      <c r="F25" s="63"/>
      <c r="G25" s="63"/>
      <c r="H25" s="63"/>
      <c r="I25" s="63"/>
      <c r="J25" s="63"/>
      <c r="K25" s="63"/>
      <c r="L25" s="55"/>
      <c r="M25" s="55"/>
      <c r="N25" s="55"/>
      <c r="O25" s="55"/>
    </row>
    <row r="26" spans="1:24" ht="21.7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</row>
    <row r="27" spans="1:24" ht="6.75" customHeight="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</row>
    <row r="28" spans="1:24" ht="6" customHeight="1">
      <c r="A28" s="64"/>
      <c r="B28" s="64"/>
      <c r="C28" s="6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</row>
    <row r="29" spans="1:24" ht="4.5" customHeight="1">
      <c r="A29" s="64"/>
      <c r="B29" s="64"/>
      <c r="C29" s="6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</row>
    <row r="30" spans="1:24" ht="6" customHeight="1">
      <c r="A30" s="64"/>
      <c r="B30" s="64"/>
      <c r="C30" s="64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</row>
    <row r="31" spans="1:24" ht="6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</row>
    <row r="32" spans="1:24" ht="4.5" customHeight="1">
      <c r="A32" s="55"/>
      <c r="B32" s="55"/>
      <c r="C32" s="55"/>
      <c r="D32" s="55"/>
      <c r="E32" s="55"/>
      <c r="F32" s="55"/>
      <c r="G32" s="66"/>
      <c r="H32" s="66"/>
      <c r="I32" s="66"/>
      <c r="J32" s="66"/>
      <c r="K32" s="66"/>
      <c r="L32" s="55"/>
      <c r="M32" s="55"/>
      <c r="N32" s="55"/>
      <c r="O32" s="55"/>
    </row>
    <row r="33" spans="1:15" ht="18" customHeight="1">
      <c r="A33" s="67"/>
      <c r="B33" s="67"/>
      <c r="C33" s="67"/>
      <c r="D33" s="67"/>
      <c r="E33" s="67"/>
      <c r="F33" s="66"/>
      <c r="G33" s="66"/>
      <c r="H33" s="66"/>
      <c r="I33" s="66"/>
      <c r="J33" s="66"/>
      <c r="K33" s="66"/>
      <c r="L33" s="55"/>
      <c r="M33" s="55"/>
      <c r="N33" s="55"/>
      <c r="O33" s="55"/>
    </row>
    <row r="34" spans="1:15">
      <c r="A34" s="67"/>
      <c r="B34" s="67"/>
      <c r="C34" s="67"/>
      <c r="D34" s="67"/>
      <c r="E34" s="67"/>
      <c r="F34" s="66"/>
      <c r="G34" s="66"/>
      <c r="H34" s="66"/>
      <c r="I34" s="66"/>
      <c r="J34" s="66"/>
      <c r="K34" s="66"/>
      <c r="L34" s="55"/>
      <c r="M34" s="55"/>
      <c r="N34" s="55"/>
      <c r="O34" s="55"/>
    </row>
    <row r="35" spans="1:15">
      <c r="A35" s="67"/>
      <c r="B35" s="67"/>
      <c r="C35" s="67"/>
      <c r="D35" s="67"/>
      <c r="E35" s="67"/>
      <c r="F35" s="66"/>
      <c r="G35" s="66"/>
      <c r="H35" s="66"/>
      <c r="I35" s="66"/>
      <c r="J35" s="66"/>
      <c r="K35" s="66"/>
      <c r="L35" s="55"/>
      <c r="M35" s="55"/>
      <c r="N35" s="55"/>
      <c r="O35" s="55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7C085-B943-4EBE-8940-2086C4852C3C}">
  <sheetPr>
    <tabColor theme="6"/>
  </sheetPr>
  <dimension ref="B1:AR18"/>
  <sheetViews>
    <sheetView showGridLines="0" zoomScale="85" zoomScaleNormal="85" zoomScalePageLayoutView="150" workbookViewId="0">
      <pane xSplit="3" ySplit="10" topLeftCell="D11" activePane="bottomRight" state="frozen"/>
      <selection activeCell="AH22" sqref="AH22"/>
      <selection pane="topRight" activeCell="AH22" sqref="AH22"/>
      <selection pane="bottomLeft" activeCell="AH22" sqref="AH22"/>
      <selection pane="bottomRight" activeCell="C1" sqref="C1"/>
    </sheetView>
  </sheetViews>
  <sheetFormatPr baseColWidth="10" defaultColWidth="11.42578125" defaultRowHeight="15" outlineLevelCol="1"/>
  <cols>
    <col min="1" max="1" width="5.42578125" style="88" customWidth="1"/>
    <col min="2" max="2" width="39.7109375" style="88" customWidth="1"/>
    <col min="3" max="3" width="63.85546875" style="17" customWidth="1"/>
    <col min="4" max="23" width="9.42578125" style="88" hidden="1" customWidth="1" outlineLevel="1"/>
    <col min="24" max="24" width="9.42578125" style="88" customWidth="1" collapsed="1"/>
    <col min="25" max="44" width="9.42578125" style="88" customWidth="1"/>
    <col min="45" max="16384" width="11.42578125" style="88"/>
  </cols>
  <sheetData>
    <row r="1" spans="2:44" s="83" customFormat="1" ht="23.25" customHeight="1">
      <c r="B1" s="79" t="s">
        <v>58</v>
      </c>
      <c r="C1" s="95" t="s">
        <v>67</v>
      </c>
      <c r="D1" s="96"/>
      <c r="E1" s="96"/>
      <c r="F1" s="96"/>
      <c r="G1" s="96"/>
      <c r="H1" s="96"/>
      <c r="I1" s="96"/>
      <c r="J1" s="96"/>
      <c r="K1" s="97"/>
      <c r="AK1" s="38"/>
      <c r="AL1" s="84"/>
    </row>
    <row r="2" spans="2:44" s="83" customFormat="1" ht="23.25" customHeight="1">
      <c r="B2" s="79" t="s">
        <v>56</v>
      </c>
      <c r="C2" s="95" t="s">
        <v>126</v>
      </c>
      <c r="D2" s="96"/>
      <c r="E2" s="96"/>
      <c r="F2" s="96"/>
      <c r="G2" s="96"/>
      <c r="H2" s="96"/>
      <c r="I2" s="96"/>
      <c r="J2" s="96"/>
      <c r="K2" s="97"/>
      <c r="AK2" s="38"/>
    </row>
    <row r="3" spans="2:44" s="83" customFormat="1" ht="23.25" customHeight="1">
      <c r="B3" s="79" t="s">
        <v>55</v>
      </c>
      <c r="C3" s="98">
        <f ca="1">TODAY()</f>
        <v>45727</v>
      </c>
      <c r="D3" s="99"/>
      <c r="E3" s="99"/>
      <c r="F3" s="99"/>
      <c r="G3" s="99"/>
      <c r="H3" s="99"/>
      <c r="I3" s="99"/>
      <c r="J3" s="99"/>
      <c r="K3" s="99"/>
      <c r="AK3" s="38"/>
    </row>
    <row r="4" spans="2:44" s="83" customFormat="1" ht="23.25" customHeight="1">
      <c r="B4" s="79" t="s">
        <v>54</v>
      </c>
      <c r="C4" s="95" t="s">
        <v>102</v>
      </c>
      <c r="D4" s="96"/>
      <c r="E4" s="96"/>
      <c r="F4" s="96"/>
      <c r="G4" s="96"/>
      <c r="H4" s="96"/>
      <c r="I4" s="96"/>
      <c r="J4" s="96"/>
      <c r="K4" s="97"/>
    </row>
    <row r="5" spans="2:44" s="83" customFormat="1" ht="23.25" customHeight="1">
      <c r="B5" s="79" t="s">
        <v>53</v>
      </c>
      <c r="C5" s="95" t="s">
        <v>65</v>
      </c>
      <c r="D5" s="96"/>
      <c r="E5" s="96"/>
      <c r="F5" s="96"/>
      <c r="G5" s="96"/>
      <c r="H5" s="96"/>
      <c r="I5" s="96"/>
      <c r="J5" s="96"/>
      <c r="K5" s="97"/>
    </row>
    <row r="6" spans="2:44" s="83" customFormat="1" ht="23.25" customHeight="1">
      <c r="B6" s="79" t="s">
        <v>52</v>
      </c>
      <c r="C6" s="95"/>
      <c r="D6" s="96"/>
      <c r="E6" s="96"/>
      <c r="F6" s="96"/>
      <c r="G6" s="96"/>
      <c r="H6" s="96"/>
      <c r="I6" s="96"/>
      <c r="J6" s="96"/>
      <c r="K6" s="97"/>
      <c r="AK6" s="38"/>
    </row>
    <row r="7" spans="2:44">
      <c r="B7" s="80"/>
      <c r="C7" s="81"/>
      <c r="D7" s="80"/>
      <c r="E7" s="80"/>
      <c r="F7" s="80"/>
      <c r="G7" s="80"/>
      <c r="H7" s="80"/>
      <c r="I7" s="80"/>
      <c r="J7" s="80"/>
      <c r="K7" s="80"/>
    </row>
    <row r="8" spans="2:44" ht="14.25" customHeight="1">
      <c r="B8" s="1"/>
      <c r="C8" s="11"/>
    </row>
    <row r="9" spans="2:44" ht="22.5" customHeight="1">
      <c r="B9" s="3"/>
      <c r="C9" s="12"/>
      <c r="D9" s="24"/>
      <c r="E9" s="2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69</v>
      </c>
      <c r="C10" s="13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ht="36.75" customHeight="1">
      <c r="B11" s="117" t="str">
        <f>THG!B43</f>
        <v>CRF 5.A - Abfalldeponierung</v>
      </c>
      <c r="C11" s="14" t="s">
        <v>63</v>
      </c>
      <c r="D11" s="100">
        <f>(THG!D43)/1000</f>
        <v>37.191251999999999</v>
      </c>
      <c r="E11" s="100">
        <f>(THG!E43)/1000</f>
        <v>39.322499999999998</v>
      </c>
      <c r="F11" s="100">
        <f>(THG!F43)/1000</f>
        <v>40.268115999999999</v>
      </c>
      <c r="G11" s="100">
        <f>(THG!G43)/1000</f>
        <v>40.154240000000001</v>
      </c>
      <c r="H11" s="100">
        <f>(THG!H43)/1000</f>
        <v>39.212823999999998</v>
      </c>
      <c r="I11" s="100">
        <f>(THG!I43)/1000</f>
        <v>37.857176000000003</v>
      </c>
      <c r="J11" s="100">
        <f>(THG!J43)/1000</f>
        <v>36.060023999999999</v>
      </c>
      <c r="K11" s="100">
        <f>(THG!K43)/1000</f>
        <v>32.792059999999999</v>
      </c>
      <c r="L11" s="100">
        <f>(THG!L43)/1000</f>
        <v>30.293144000000002</v>
      </c>
      <c r="M11" s="100">
        <f>(THG!M43)/1000</f>
        <v>28.232764</v>
      </c>
      <c r="N11" s="100">
        <f>(THG!N43)/1000</f>
        <v>26.271559999999997</v>
      </c>
      <c r="O11" s="100">
        <f>(THG!O43)/1000</f>
        <v>24.258471999999998</v>
      </c>
      <c r="P11" s="100">
        <f>(THG!P43)/1000</f>
        <v>22.439396000000002</v>
      </c>
      <c r="Q11" s="100">
        <f>(THG!Q43)/1000</f>
        <v>20.668200000000002</v>
      </c>
      <c r="R11" s="100">
        <f>(THG!R43)/1000</f>
        <v>18.093683999999996</v>
      </c>
      <c r="S11" s="100">
        <f>(THG!S43)/1000</f>
        <v>16.360596000000001</v>
      </c>
      <c r="T11" s="100">
        <f>(THG!T43)/1000</f>
        <v>14.511195999999998</v>
      </c>
      <c r="U11" s="100">
        <f>(THG!U43)/1000</f>
        <v>12.96946</v>
      </c>
      <c r="V11" s="100">
        <f>(THG!V43)/1000</f>
        <v>11.613616</v>
      </c>
      <c r="W11" s="100">
        <f>(THG!W43)/1000</f>
        <v>10.232348</v>
      </c>
      <c r="X11" s="100">
        <f>(THG!X43)/1000</f>
        <v>9.0151880000000002</v>
      </c>
      <c r="Y11" s="100">
        <f>(THG!Y43)/1000</f>
        <v>8.0675279999999994</v>
      </c>
      <c r="Z11" s="100">
        <f>(THG!Z43)/1000</f>
        <v>7.2332399999999986</v>
      </c>
      <c r="AA11" s="100">
        <f>(THG!AA43)/1000</f>
        <v>6.4712479999999992</v>
      </c>
      <c r="AB11" s="100">
        <f>(THG!AB43)/1000</f>
        <v>5.7966160000000002</v>
      </c>
      <c r="AC11" s="100">
        <f>(THG!AC43)/1000</f>
        <v>5.1918439999999997</v>
      </c>
      <c r="AD11" s="100">
        <f>(THG!AD43)/1000</f>
        <v>4.657184</v>
      </c>
      <c r="AE11" s="100">
        <f>(THG!AE43)/1000</f>
        <v>4.2841399999999998</v>
      </c>
      <c r="AF11" s="100">
        <f>(THG!AF43)/1000</f>
        <v>3.9445839999999999</v>
      </c>
      <c r="AG11" s="100">
        <f>(THG!AG43)/1000</f>
        <v>3.4267239999999997</v>
      </c>
      <c r="AH11" s="171">
        <f>(THG!AH43)/1000</f>
        <v>2.973096</v>
      </c>
      <c r="AI11" s="171">
        <f>(THG!AI43)/1000</f>
        <v>2.685508</v>
      </c>
      <c r="AJ11" s="171">
        <f>(THG!AJ43)/1000</f>
        <v>2.4319007999999998</v>
      </c>
      <c r="AK11" s="171">
        <f>(THG!AK43)/1000</f>
        <v>2.2451295999999998</v>
      </c>
      <c r="AL11" s="171">
        <f>(THG!AL43)/1000</f>
        <v>2.072476</v>
      </c>
      <c r="AM11" s="29"/>
      <c r="AN11" s="29"/>
      <c r="AO11" s="29"/>
      <c r="AP11" s="29"/>
      <c r="AQ11" s="29"/>
      <c r="AR11" s="29"/>
    </row>
    <row r="12" spans="2:44" ht="36.75" customHeight="1">
      <c r="B12" s="118" t="str">
        <f>THG!B44</f>
        <v>CRF 5.B - biologische Behandlung von festen Abfällen</v>
      </c>
      <c r="C12" s="89" t="s">
        <v>63</v>
      </c>
      <c r="D12" s="101">
        <f>(THG!D44)/1000</f>
        <v>7.9060274999999985E-2</v>
      </c>
      <c r="E12" s="101">
        <f>(THG!E44)/1000</f>
        <v>9.4402664999999983E-2</v>
      </c>
      <c r="F12" s="101">
        <f>(THG!F44)/1000</f>
        <v>0.10974505500000001</v>
      </c>
      <c r="G12" s="101">
        <f>(THG!G44)/1000</f>
        <v>0.12508744499999999</v>
      </c>
      <c r="H12" s="101">
        <f>(THG!H44)/1000</f>
        <v>0.19739847739499999</v>
      </c>
      <c r="I12" s="101">
        <f>(THG!I44)/1000</f>
        <v>0.26970945760499992</v>
      </c>
      <c r="J12" s="101">
        <f>(THG!J44)/1000</f>
        <v>0.34202049000000001</v>
      </c>
      <c r="K12" s="101">
        <f>(THG!K44)/1000</f>
        <v>0.37646258999999999</v>
      </c>
      <c r="L12" s="101">
        <f>(THG!L44)/1000</f>
        <v>0.41484682896499997</v>
      </c>
      <c r="M12" s="101">
        <f>(THG!M44)/1000</f>
        <v>0.48131689241999992</v>
      </c>
      <c r="N12" s="101">
        <f>(THG!N44)/1000</f>
        <v>0.55392136240000001</v>
      </c>
      <c r="O12" s="101">
        <f>(THG!O44)/1000</f>
        <v>0.56630654673999992</v>
      </c>
      <c r="P12" s="101">
        <f>(THG!P44)/1000</f>
        <v>0.67713171874999989</v>
      </c>
      <c r="Q12" s="101">
        <f>(THG!Q44)/1000</f>
        <v>0.68368848792499992</v>
      </c>
      <c r="R12" s="101">
        <f>(THG!R44)/1000</f>
        <v>0.69866040886999992</v>
      </c>
      <c r="S12" s="101">
        <f>(THG!S44)/1000</f>
        <v>0.69139955535999997</v>
      </c>
      <c r="T12" s="101">
        <f>(THG!T44)/1000</f>
        <v>0.70470371102000007</v>
      </c>
      <c r="U12" s="101">
        <f>(THG!U44)/1000</f>
        <v>0.75406627033999984</v>
      </c>
      <c r="V12" s="101">
        <f>(THG!V44)/1000</f>
        <v>0.7431253778200001</v>
      </c>
      <c r="W12" s="101">
        <f>(THG!W44)/1000</f>
        <v>0.76269703759999996</v>
      </c>
      <c r="X12" s="101">
        <f>(THG!X44)/1000</f>
        <v>0.75787296166000007</v>
      </c>
      <c r="Y12" s="101">
        <f>(THG!Y44)/1000</f>
        <v>0.84886990368000004</v>
      </c>
      <c r="Z12" s="101">
        <f>(THG!Z44)/1000</f>
        <v>0.88514523103999976</v>
      </c>
      <c r="AA12" s="101">
        <f>(THG!AA44)/1000</f>
        <v>0.87896271961999994</v>
      </c>
      <c r="AB12" s="101">
        <f>(THG!AB44)/1000</f>
        <v>0.95098706046000003</v>
      </c>
      <c r="AC12" s="101">
        <f>(THG!AC44)/1000</f>
        <v>0.95283242503999988</v>
      </c>
      <c r="AD12" s="101">
        <f>(THG!AD44)/1000</f>
        <v>0.97731824433999992</v>
      </c>
      <c r="AE12" s="101">
        <f>(THG!AE44)/1000</f>
        <v>0.99279035799999993</v>
      </c>
      <c r="AF12" s="101">
        <f>(THG!AF44)/1000</f>
        <v>0.96334625699999987</v>
      </c>
      <c r="AG12" s="101">
        <f>(THG!AG44)/1000</f>
        <v>0.98143663149999993</v>
      </c>
      <c r="AH12" s="172">
        <f>(THG!AH44)/1000</f>
        <v>0.97974194749999988</v>
      </c>
      <c r="AI12" s="172">
        <f>(THG!AI44)/1000</f>
        <v>1.0580991975</v>
      </c>
      <c r="AJ12" s="172">
        <f>(THG!AJ44)/1000</f>
        <v>1.0588411465199996</v>
      </c>
      <c r="AK12" s="172">
        <f>(THG!AK44)/1000</f>
        <v>1.0846426087050001</v>
      </c>
      <c r="AL12" s="172">
        <f>(THG!AL44)/1000</f>
        <v>1.1221995630549999</v>
      </c>
      <c r="AM12" s="91"/>
      <c r="AN12" s="91"/>
      <c r="AO12" s="91"/>
      <c r="AP12" s="91"/>
      <c r="AQ12" s="91"/>
      <c r="AR12" s="91"/>
    </row>
    <row r="13" spans="2:44" ht="36.75" customHeight="1">
      <c r="B13" s="119" t="str">
        <f>THG!B45</f>
        <v>CRF 5.D - Abwasserbehandlung</v>
      </c>
      <c r="C13" s="102" t="s">
        <v>63</v>
      </c>
      <c r="D13" s="100">
        <f>(THG!D45)/1000</f>
        <v>4.2798959346849514</v>
      </c>
      <c r="E13" s="100">
        <f>(THG!E45)/1000</f>
        <v>3.6794842454642422</v>
      </c>
      <c r="F13" s="100">
        <f>(THG!F45)/1000</f>
        <v>3.312691734579265</v>
      </c>
      <c r="G13" s="100">
        <f>(THG!G45)/1000</f>
        <v>3.1312671263957346</v>
      </c>
      <c r="H13" s="100">
        <f>(THG!H45)/1000</f>
        <v>2.9215954551110235</v>
      </c>
      <c r="I13" s="100">
        <f>(THG!I45)/1000</f>
        <v>2.9273219358980209</v>
      </c>
      <c r="J13" s="100">
        <f>(THG!J45)/1000</f>
        <v>2.845781755805576</v>
      </c>
      <c r="K13" s="100">
        <f>(THG!K45)/1000</f>
        <v>2.7619543266282207</v>
      </c>
      <c r="L13" s="100">
        <f>(THG!L45)/1000</f>
        <v>2.6787351992246768</v>
      </c>
      <c r="M13" s="100">
        <f>(THG!M45)/1000</f>
        <v>2.6726573888601144</v>
      </c>
      <c r="N13" s="100">
        <f>(THG!N45)/1000</f>
        <v>2.6659261831363921</v>
      </c>
      <c r="O13" s="100">
        <f>(THG!O45)/1000</f>
        <v>2.6538036990704166</v>
      </c>
      <c r="P13" s="100">
        <f>(THG!P45)/1000</f>
        <v>2.6238518773580752</v>
      </c>
      <c r="Q13" s="100">
        <f>(THG!Q45)/1000</f>
        <v>2.5929636234763449</v>
      </c>
      <c r="R13" s="100">
        <f>(THG!R45)/1000</f>
        <v>2.5636624770685952</v>
      </c>
      <c r="S13" s="100">
        <f>(THG!S45)/1000</f>
        <v>2.5392738085914361</v>
      </c>
      <c r="T13" s="100">
        <f>(THG!T45)/1000</f>
        <v>2.5099401820113361</v>
      </c>
      <c r="U13" s="100">
        <f>(THG!U45)/1000</f>
        <v>2.4803983401514471</v>
      </c>
      <c r="V13" s="100">
        <f>(THG!V45)/1000</f>
        <v>2.4478572891543018</v>
      </c>
      <c r="W13" s="100">
        <f>(THG!W45)/1000</f>
        <v>2.4150277933509625</v>
      </c>
      <c r="X13" s="100">
        <f>(THG!X45)/1000</f>
        <v>2.3825023084971879</v>
      </c>
      <c r="Y13" s="100">
        <f>(THG!Y45)/1000</f>
        <v>2.3537194550504426</v>
      </c>
      <c r="Z13" s="100">
        <f>(THG!Z45)/1000</f>
        <v>2.3277045550433004</v>
      </c>
      <c r="AA13" s="100">
        <f>(THG!AA45)/1000</f>
        <v>2.3010193939737387</v>
      </c>
      <c r="AB13" s="100">
        <f>(THG!AB45)/1000</f>
        <v>2.2778632152079434</v>
      </c>
      <c r="AC13" s="100">
        <f>(THG!AC45)/1000</f>
        <v>2.2629020460106219</v>
      </c>
      <c r="AD13" s="100">
        <f>(THG!AD45)/1000</f>
        <v>2.2352887751703712</v>
      </c>
      <c r="AE13" s="100">
        <f>(THG!AE45)/1000</f>
        <v>2.2154060624636482</v>
      </c>
      <c r="AF13" s="100">
        <f>(THG!AF45)/1000</f>
        <v>2.1903116644381608</v>
      </c>
      <c r="AG13" s="100">
        <f>(THG!AG45)/1000</f>
        <v>2.1653609667640228</v>
      </c>
      <c r="AH13" s="171">
        <f>(THG!AH45)/1000</f>
        <v>2.1363719683100082</v>
      </c>
      <c r="AI13" s="171">
        <f>(THG!AI45)/1000</f>
        <v>2.140368858539011</v>
      </c>
      <c r="AJ13" s="171">
        <f>(THG!AJ45)/1000</f>
        <v>2.1287706950400431</v>
      </c>
      <c r="AK13" s="171">
        <f>(THG!AK45)/1000</f>
        <v>2.1315085348780185</v>
      </c>
      <c r="AL13" s="171">
        <f>(THG!AL45)/1000</f>
        <v>2.1334445605737273</v>
      </c>
      <c r="AM13" s="29"/>
      <c r="AN13" s="29"/>
      <c r="AO13" s="29"/>
      <c r="AP13" s="29"/>
      <c r="AQ13" s="29"/>
      <c r="AR13" s="29"/>
    </row>
    <row r="14" spans="2:44" ht="36.75" customHeight="1">
      <c r="B14" s="118" t="str">
        <f>THG!B46</f>
        <v>CRF 5.E - übrige Emissionen - Andere</v>
      </c>
      <c r="C14" s="89" t="s">
        <v>63</v>
      </c>
      <c r="D14" s="101">
        <f>(THG!D46)/1000</f>
        <v>0</v>
      </c>
      <c r="E14" s="101">
        <f>(THG!E46)/1000</f>
        <v>0</v>
      </c>
      <c r="F14" s="101">
        <f>(THG!F46)/1000</f>
        <v>0</v>
      </c>
      <c r="G14" s="101">
        <f>(THG!G46)/1000</f>
        <v>0</v>
      </c>
      <c r="H14" s="101">
        <f>(THG!H46)/1000</f>
        <v>0</v>
      </c>
      <c r="I14" s="101">
        <f>(THG!I46)/1000</f>
        <v>1.0446324999999999E-2</v>
      </c>
      <c r="J14" s="101">
        <f>(THG!J46)/1000</f>
        <v>2.1697414004499999E-2</v>
      </c>
      <c r="K14" s="101">
        <f>(THG!K46)/1000</f>
        <v>3.3752985364875004E-2</v>
      </c>
      <c r="L14" s="101">
        <f>(THG!L46)/1000</f>
        <v>4.6613508495499993E-2</v>
      </c>
      <c r="M14" s="101">
        <f>(THG!M46)/1000</f>
        <v>6.0278795630625E-2</v>
      </c>
      <c r="N14" s="101">
        <f>(THG!N46)/1000</f>
        <v>8.1052486915784996E-2</v>
      </c>
      <c r="O14" s="101">
        <f>(THG!O46)/1000</f>
        <v>9.0238102482127505E-2</v>
      </c>
      <c r="P14" s="101">
        <f>(THG!P46)/1000</f>
        <v>0.10766078375</v>
      </c>
      <c r="Q14" s="101">
        <f>(THG!Q46)/1000</f>
        <v>0.1174169259375</v>
      </c>
      <c r="R14" s="101">
        <f>(THG!R46)/1000</f>
        <v>0.13321064937499999</v>
      </c>
      <c r="S14" s="101">
        <f>(THG!S46)/1000</f>
        <v>0.239388975</v>
      </c>
      <c r="T14" s="101">
        <f>(THG!T46)/1000</f>
        <v>3.2470927980000001E-2</v>
      </c>
      <c r="U14" s="101">
        <f>(THG!U46)/1000</f>
        <v>3.283448043E-2</v>
      </c>
      <c r="V14" s="101">
        <f>(THG!V46)/1000</f>
        <v>3.467151534E-2</v>
      </c>
      <c r="W14" s="101">
        <f>(THG!W46)/1000</f>
        <v>3.5415264809999999E-2</v>
      </c>
      <c r="X14" s="101">
        <f>(THG!X46)/1000</f>
        <v>3.6388534139999998E-2</v>
      </c>
      <c r="Y14" s="101">
        <f>(THG!Y46)/1000</f>
        <v>3.919445823E-2</v>
      </c>
      <c r="Z14" s="101">
        <f>(THG!Z46)/1000</f>
        <v>3.7363555530000002E-2</v>
      </c>
      <c r="AA14" s="101">
        <f>(THG!AA46)/1000</f>
        <v>3.6500665979999992E-2</v>
      </c>
      <c r="AB14" s="101">
        <f>(THG!AB46)/1000</f>
        <v>3.6857210189999996E-2</v>
      </c>
      <c r="AC14" s="101">
        <f>(THG!AC46)/1000</f>
        <v>3.5897957339999995E-2</v>
      </c>
      <c r="AD14" s="101">
        <f>(THG!AD46)/1000</f>
        <v>3.4584788370000001E-2</v>
      </c>
      <c r="AE14" s="101">
        <f>(THG!AE46)/1000</f>
        <v>3.3490626900000001E-2</v>
      </c>
      <c r="AF14" s="101">
        <f>(THG!AF46)/1000</f>
        <v>3.3033339239999994E-2</v>
      </c>
      <c r="AG14" s="101">
        <f>(THG!AG46)/1000</f>
        <v>3.2802067319999996E-2</v>
      </c>
      <c r="AH14" s="172">
        <f>(THG!AH46)/1000</f>
        <v>3.2233523849999994E-2</v>
      </c>
      <c r="AI14" s="172">
        <f>(THG!AI46)/1000</f>
        <v>3.1459989359999989E-2</v>
      </c>
      <c r="AJ14" s="172">
        <f>(THG!AJ46)/1000</f>
        <v>3.0101266830000001E-2</v>
      </c>
      <c r="AK14" s="172">
        <f>(THG!AK46)/1000</f>
        <v>2.8742544299999999E-2</v>
      </c>
      <c r="AL14" s="172">
        <f>(THG!AL46)/1000</f>
        <v>2.738382177E-2</v>
      </c>
      <c r="AM14" s="91"/>
      <c r="AN14" s="91"/>
      <c r="AO14" s="91"/>
      <c r="AP14" s="91"/>
      <c r="AQ14" s="91"/>
      <c r="AR14" s="91"/>
    </row>
    <row r="15" spans="2:44" ht="18.75" customHeight="1">
      <c r="B15" s="5" t="str">
        <f>THG!B42</f>
        <v>6 - Abfallwirtschaft und Sonstiges</v>
      </c>
      <c r="C15" s="20" t="s">
        <v>63</v>
      </c>
      <c r="D15" s="21">
        <f>(THG!D42)/1000</f>
        <v>41.550208209684953</v>
      </c>
      <c r="E15" s="21">
        <f>(THG!E42)/1000</f>
        <v>43.096386910464247</v>
      </c>
      <c r="F15" s="21">
        <f>(THG!F42)/1000</f>
        <v>43.690552789579272</v>
      </c>
      <c r="G15" s="21">
        <f>(THG!G42)/1000</f>
        <v>43.410594571395734</v>
      </c>
      <c r="H15" s="21">
        <f>(THG!H42)/1000</f>
        <v>42.331817932506027</v>
      </c>
      <c r="I15" s="21">
        <f>(THG!I42)/1000</f>
        <v>41.064653718503017</v>
      </c>
      <c r="J15" s="21">
        <f>(THG!J42)/1000</f>
        <v>39.269523659810076</v>
      </c>
      <c r="K15" s="21">
        <f>(THG!K42)/1000</f>
        <v>35.964229901993093</v>
      </c>
      <c r="L15" s="21">
        <f>(THG!L42)/1000</f>
        <v>33.433339536685175</v>
      </c>
      <c r="M15" s="21">
        <f>(THG!M42)/1000</f>
        <v>31.44701707691074</v>
      </c>
      <c r="N15" s="21">
        <f>(THG!N42)/1000</f>
        <v>29.572460032452174</v>
      </c>
      <c r="O15" s="21">
        <f>(THG!O42)/1000</f>
        <v>27.56882034829254</v>
      </c>
      <c r="P15" s="21">
        <f>(THG!P42)/1000</f>
        <v>25.848040379858077</v>
      </c>
      <c r="Q15" s="21">
        <f>(THG!Q42)/1000</f>
        <v>24.062269037338847</v>
      </c>
      <c r="R15" s="21">
        <f>(THG!R42)/1000</f>
        <v>21.489217535313593</v>
      </c>
      <c r="S15" s="21">
        <f>(THG!S42)/1000</f>
        <v>19.830658338951437</v>
      </c>
      <c r="T15" s="21">
        <f>(THG!T42)/1000</f>
        <v>17.758310821011335</v>
      </c>
      <c r="U15" s="21">
        <f>(THG!U42)/1000</f>
        <v>16.236759090921446</v>
      </c>
      <c r="V15" s="21">
        <f>(THG!V42)/1000</f>
        <v>14.839270182314303</v>
      </c>
      <c r="W15" s="21">
        <f>(THG!W42)/1000</f>
        <v>13.445488095760965</v>
      </c>
      <c r="X15" s="21">
        <f>(THG!X42)/1000</f>
        <v>12.191951804297188</v>
      </c>
      <c r="Y15" s="21">
        <f>(THG!Y42)/1000</f>
        <v>11.309311816960442</v>
      </c>
      <c r="Z15" s="21">
        <f>(THG!Z42)/1000</f>
        <v>10.4834533416133</v>
      </c>
      <c r="AA15" s="21">
        <f>(THG!AA42)/1000</f>
        <v>9.6877307795737373</v>
      </c>
      <c r="AB15" s="21">
        <f>(THG!AB42)/1000</f>
        <v>9.0623234858579433</v>
      </c>
      <c r="AC15" s="21">
        <f>(THG!AC42)/1000</f>
        <v>8.443476428390623</v>
      </c>
      <c r="AD15" s="21">
        <f>(THG!AD42)/1000</f>
        <v>7.9043758078803714</v>
      </c>
      <c r="AE15" s="21">
        <f>(THG!AE42)/1000</f>
        <v>7.5258270473636477</v>
      </c>
      <c r="AF15" s="21">
        <f>(THG!AF42)/1000</f>
        <v>7.1312752606781604</v>
      </c>
      <c r="AG15" s="21">
        <f>(THG!AG42)/1000</f>
        <v>6.6063236655840223</v>
      </c>
      <c r="AH15" s="164">
        <f>(THG!AH42)/1000</f>
        <v>6.1214434396600081</v>
      </c>
      <c r="AI15" s="164">
        <f>(THG!AI42)/1000</f>
        <v>5.9154360453990105</v>
      </c>
      <c r="AJ15" s="164">
        <f>(THG!AJ42)/1000</f>
        <v>5.6496139083900427</v>
      </c>
      <c r="AK15" s="164">
        <f>(THG!AK42)/1000</f>
        <v>5.4900232878830186</v>
      </c>
      <c r="AL15" s="164">
        <f>(THG!AL42)/1000</f>
        <v>5.355503945398727</v>
      </c>
      <c r="AM15" s="27"/>
      <c r="AN15" s="27"/>
      <c r="AO15" s="27"/>
      <c r="AP15" s="27"/>
      <c r="AQ15" s="27"/>
      <c r="AR15" s="27"/>
    </row>
    <row r="16" spans="2:44" ht="18.75" customHeight="1">
      <c r="B16" s="90"/>
      <c r="C16" s="89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</row>
    <row r="17" spans="2:44" ht="18.75" customHeight="1">
      <c r="B17" s="5" t="s">
        <v>16</v>
      </c>
      <c r="C17" s="20" t="str">
        <f>'Daten Zielpfadgrafik'!C28</f>
        <v>aktueller Zielpfad**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164">
        <f>'Daten Zielpfadgrafik'!AH28</f>
        <v>9</v>
      </c>
      <c r="AI17" s="164">
        <f>'Daten Zielpfadgrafik'!AI28</f>
        <v>9</v>
      </c>
      <c r="AJ17" s="164">
        <f>'Daten Zielpfadgrafik'!AJ28</f>
        <v>8.5006613839937355</v>
      </c>
      <c r="AK17" s="164">
        <f>'Daten Zielpfadgrafik'!AK28</f>
        <v>8.8556929007255043</v>
      </c>
      <c r="AL17" s="164">
        <f>'Daten Zielpfadgrafik'!AL28</f>
        <v>8.3365028454172894</v>
      </c>
      <c r="AM17" s="164">
        <f>'Daten Zielpfadgrafik'!AM28</f>
        <v>8.8333359954203825</v>
      </c>
      <c r="AN17" s="164">
        <f>'Daten Zielpfadgrafik'!AN28</f>
        <v>7.8333359954203834</v>
      </c>
      <c r="AO17" s="164">
        <f>'Daten Zielpfadgrafik'!AO28</f>
        <v>7.8333359954203834</v>
      </c>
      <c r="AP17" s="164">
        <f>'Daten Zielpfadgrafik'!AP28</f>
        <v>6.8333359954203834</v>
      </c>
      <c r="AQ17" s="164">
        <f>'Daten Zielpfadgrafik'!AQ28</f>
        <v>6.8333359954203834</v>
      </c>
      <c r="AR17" s="164">
        <f>'Daten Zielpfadgrafik'!AR28</f>
        <v>5.8333359954203834</v>
      </c>
    </row>
    <row r="18" spans="2:44" ht="14.25" customHeight="1">
      <c r="B18" s="7"/>
      <c r="C18" s="16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319AD-49C3-4253-A461-C4EDC13A79BF}">
  <sheetPr>
    <tabColor theme="6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1" customWidth="1"/>
    <col min="2" max="2" width="4.28515625" style="41" customWidth="1"/>
    <col min="3" max="3" width="1.7109375" style="41" customWidth="1"/>
    <col min="4" max="4" width="14" style="41" customWidth="1"/>
    <col min="5" max="5" width="1.7109375" style="41" customWidth="1"/>
    <col min="6" max="6" width="14" style="41" customWidth="1"/>
    <col min="7" max="7" width="1.7109375" style="41" customWidth="1"/>
    <col min="8" max="8" width="14" style="41" customWidth="1"/>
    <col min="9" max="9" width="1.7109375" style="41" customWidth="1"/>
    <col min="10" max="10" width="14" style="41" customWidth="1"/>
    <col min="11" max="11" width="1.7109375" style="41" customWidth="1"/>
    <col min="12" max="12" width="14" style="41" customWidth="1"/>
    <col min="13" max="13" width="3.140625" style="41" customWidth="1"/>
    <col min="14" max="14" width="1.42578125" style="41" customWidth="1"/>
    <col min="15" max="15" width="15.140625" style="41" customWidth="1"/>
    <col min="16" max="16" width="2.5703125" style="42" customWidth="1"/>
    <col min="17" max="19" width="11.7109375" style="42" customWidth="1"/>
    <col min="20" max="20" width="4" style="42" customWidth="1"/>
    <col min="21" max="22" width="11.7109375" style="42" customWidth="1"/>
    <col min="23" max="23" width="19.140625" style="42" customWidth="1"/>
    <col min="24" max="24" width="2.5703125" style="42" customWidth="1"/>
    <col min="25" max="16384" width="11.42578125" style="42"/>
  </cols>
  <sheetData>
    <row r="1" spans="1:24" ht="20.25" customHeight="1">
      <c r="A1" s="40"/>
    </row>
    <row r="2" spans="1:24" ht="20.2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P2" s="225" t="s">
        <v>62</v>
      </c>
      <c r="Q2" s="226"/>
      <c r="R2" s="226"/>
      <c r="S2" s="226"/>
      <c r="T2" s="226"/>
      <c r="U2" s="226"/>
      <c r="V2" s="226"/>
      <c r="W2" s="226"/>
      <c r="X2" s="227"/>
    </row>
    <row r="3" spans="1:24" ht="18.7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P3" s="45"/>
      <c r="Q3" s="46"/>
      <c r="R3" s="47"/>
      <c r="S3" s="46"/>
      <c r="T3" s="46"/>
      <c r="U3" s="47"/>
      <c r="V3" s="46"/>
      <c r="W3" s="46"/>
      <c r="X3" s="48"/>
    </row>
    <row r="4" spans="1:24" ht="15.9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P4" s="45"/>
      <c r="Q4" s="46"/>
      <c r="R4" s="46"/>
      <c r="S4" s="46"/>
      <c r="T4" s="46"/>
      <c r="U4" s="46"/>
      <c r="V4" s="46"/>
      <c r="W4" s="46"/>
      <c r="X4" s="48"/>
    </row>
    <row r="5" spans="1:24" ht="7.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P5" s="50"/>
      <c r="Q5" s="51"/>
      <c r="R5" s="51"/>
      <c r="S5" s="51"/>
      <c r="T5" s="51"/>
      <c r="U5" s="51"/>
      <c r="V5" s="51"/>
      <c r="W5" s="51"/>
      <c r="X5" s="52"/>
    </row>
    <row r="6" spans="1:24" ht="16.5" customHeight="1">
      <c r="B6" s="53"/>
      <c r="P6" s="50"/>
      <c r="Q6" s="51"/>
      <c r="R6" s="51"/>
      <c r="S6" s="51"/>
      <c r="T6" s="51"/>
      <c r="U6" s="51"/>
      <c r="V6" s="51"/>
      <c r="W6" s="51"/>
      <c r="X6" s="52"/>
    </row>
    <row r="7" spans="1:24" ht="16.5" customHeight="1">
      <c r="B7" s="53"/>
      <c r="P7" s="50"/>
      <c r="Q7" s="51"/>
      <c r="R7" s="51"/>
      <c r="S7" s="51"/>
      <c r="T7" s="51"/>
      <c r="U7" s="51"/>
      <c r="V7" s="51"/>
      <c r="W7" s="51"/>
      <c r="X7" s="52"/>
    </row>
    <row r="8" spans="1:24" ht="16.5" customHeight="1">
      <c r="B8" s="53"/>
      <c r="P8" s="50"/>
      <c r="Q8" s="51"/>
      <c r="R8" s="51"/>
      <c r="S8" s="51"/>
      <c r="T8" s="51"/>
      <c r="U8" s="51"/>
      <c r="V8" s="51"/>
      <c r="W8" s="51"/>
      <c r="X8" s="52"/>
    </row>
    <row r="9" spans="1:24" ht="16.5" customHeight="1">
      <c r="B9" s="53"/>
      <c r="P9" s="50"/>
      <c r="Q9" s="51"/>
      <c r="R9" s="51"/>
      <c r="S9" s="51"/>
      <c r="T9" s="51"/>
      <c r="U9" s="51"/>
      <c r="V9" s="51"/>
      <c r="W9" s="51"/>
      <c r="X9" s="52"/>
    </row>
    <row r="10" spans="1:24" ht="16.5" customHeight="1">
      <c r="B10" s="53"/>
      <c r="P10" s="50"/>
      <c r="Q10" s="51"/>
      <c r="R10" s="51"/>
      <c r="S10" s="51"/>
      <c r="T10" s="51"/>
      <c r="U10" s="51"/>
      <c r="V10" s="51"/>
      <c r="W10" s="51"/>
      <c r="X10" s="52"/>
    </row>
    <row r="11" spans="1:24" ht="16.5" customHeight="1">
      <c r="B11" s="53"/>
      <c r="P11" s="50"/>
      <c r="Q11" s="54" t="s">
        <v>61</v>
      </c>
      <c r="R11" s="51"/>
      <c r="S11" s="51"/>
      <c r="T11" s="51"/>
      <c r="U11" s="51"/>
      <c r="V11" s="51"/>
      <c r="W11" s="51"/>
      <c r="X11" s="52"/>
    </row>
    <row r="12" spans="1:24" ht="16.5" customHeight="1">
      <c r="B12" s="53"/>
      <c r="P12" s="50"/>
      <c r="Q12" s="51"/>
      <c r="R12" s="51"/>
      <c r="S12" s="51"/>
      <c r="T12" s="51"/>
      <c r="U12" s="51"/>
      <c r="V12" s="51"/>
      <c r="W12" s="51"/>
      <c r="X12" s="52"/>
    </row>
    <row r="13" spans="1:24" ht="17.25" customHeight="1">
      <c r="B13" s="53"/>
      <c r="P13" s="50"/>
      <c r="Q13" s="54" t="s">
        <v>60</v>
      </c>
      <c r="R13" s="51"/>
      <c r="S13" s="51"/>
      <c r="T13" s="51"/>
      <c r="U13" s="51"/>
      <c r="V13" s="51"/>
      <c r="W13" s="51"/>
      <c r="X13" s="52"/>
    </row>
    <row r="14" spans="1:24" ht="16.5" customHeight="1">
      <c r="B14" s="53"/>
      <c r="P14" s="50"/>
      <c r="Q14" s="51"/>
      <c r="R14" s="51"/>
      <c r="S14" s="51"/>
      <c r="T14" s="51"/>
      <c r="U14" s="51"/>
      <c r="V14" s="51"/>
      <c r="W14" s="51"/>
      <c r="X14" s="52"/>
    </row>
    <row r="15" spans="1:24" ht="16.5" customHeight="1">
      <c r="A15" s="55"/>
      <c r="B15" s="5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0"/>
      <c r="Q15" s="51"/>
      <c r="R15" s="54" t="s">
        <v>59</v>
      </c>
      <c r="S15" s="51"/>
      <c r="T15" s="51"/>
      <c r="U15" s="54" t="s">
        <v>59</v>
      </c>
      <c r="V15" s="51"/>
      <c r="W15" s="51"/>
      <c r="X15" s="52"/>
    </row>
    <row r="16" spans="1:24" ht="16.5" customHeight="1">
      <c r="A16" s="55"/>
      <c r="B16" s="56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0"/>
      <c r="Q16" s="51"/>
      <c r="R16" s="51"/>
      <c r="S16" s="51"/>
      <c r="T16" s="51"/>
      <c r="U16" s="51"/>
      <c r="V16" s="51"/>
      <c r="W16" s="51"/>
      <c r="X16" s="52"/>
    </row>
    <row r="17" spans="1:24" ht="16.5" customHeight="1">
      <c r="A17" s="55"/>
      <c r="B17" s="56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0"/>
      <c r="Q17" s="51"/>
      <c r="R17" s="51"/>
      <c r="S17" s="51"/>
      <c r="T17" s="51"/>
      <c r="U17" s="51"/>
      <c r="V17" s="51"/>
      <c r="W17" s="51"/>
      <c r="X17" s="52"/>
    </row>
    <row r="18" spans="1:24" ht="22.5" customHeight="1">
      <c r="A18" s="55"/>
      <c r="B18" s="56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0"/>
      <c r="Q18" s="51"/>
      <c r="R18" s="51"/>
      <c r="S18" s="51"/>
      <c r="T18" s="51"/>
      <c r="U18" s="51"/>
      <c r="V18" s="51"/>
      <c r="W18" s="51"/>
      <c r="X18" s="52"/>
    </row>
    <row r="19" spans="1:24" ht="87" customHeight="1">
      <c r="A19" s="57"/>
      <c r="B19" s="58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5"/>
      <c r="O19" s="55"/>
      <c r="P19" s="59"/>
      <c r="Q19" s="60"/>
      <c r="R19" s="60"/>
      <c r="S19" s="60"/>
      <c r="T19" s="60"/>
      <c r="U19" s="60"/>
      <c r="V19" s="60"/>
      <c r="W19" s="60"/>
      <c r="X19" s="61"/>
    </row>
    <row r="20" spans="1:24" ht="9" customHeight="1">
      <c r="A20" s="57"/>
      <c r="B20" s="58"/>
      <c r="C20" s="57"/>
      <c r="D20" s="224"/>
      <c r="E20" s="57"/>
      <c r="F20" s="224"/>
      <c r="G20" s="57"/>
      <c r="H20" s="224"/>
      <c r="I20" s="57"/>
      <c r="J20" s="224"/>
      <c r="K20" s="57"/>
      <c r="L20" s="224"/>
      <c r="M20" s="57"/>
      <c r="N20" s="55"/>
      <c r="O20" s="55"/>
    </row>
    <row r="21" spans="1:24" ht="11.25" customHeight="1">
      <c r="A21" s="57"/>
      <c r="B21" s="58"/>
      <c r="C21" s="57"/>
      <c r="D21" s="224"/>
      <c r="E21" s="57"/>
      <c r="F21" s="224"/>
      <c r="G21" s="57"/>
      <c r="H21" s="224"/>
      <c r="I21" s="57"/>
      <c r="J21" s="224"/>
      <c r="K21" s="57"/>
      <c r="L21" s="224"/>
      <c r="M21" s="57"/>
      <c r="N21" s="55"/>
      <c r="O21" s="55"/>
    </row>
    <row r="22" spans="1:24" ht="3.75" customHeight="1">
      <c r="A22" s="57"/>
      <c r="B22" s="58"/>
      <c r="C22" s="57"/>
      <c r="D22" s="94"/>
      <c r="E22" s="57"/>
      <c r="F22" s="94"/>
      <c r="G22" s="57"/>
      <c r="H22" s="94"/>
      <c r="I22" s="57"/>
      <c r="J22" s="94"/>
      <c r="K22" s="57"/>
      <c r="L22" s="94"/>
      <c r="M22" s="57"/>
      <c r="N22" s="55"/>
      <c r="O22" s="55"/>
    </row>
    <row r="23" spans="1:24" ht="9" customHeight="1">
      <c r="A23" s="57"/>
      <c r="B23" s="58"/>
      <c r="C23" s="57"/>
      <c r="D23" s="224"/>
      <c r="E23" s="57"/>
      <c r="F23" s="224"/>
      <c r="G23" s="57"/>
      <c r="H23" s="224"/>
      <c r="I23" s="57"/>
      <c r="J23" s="224"/>
      <c r="K23" s="57"/>
      <c r="L23" s="224"/>
      <c r="M23" s="57"/>
      <c r="N23" s="55"/>
      <c r="O23" s="55"/>
    </row>
    <row r="24" spans="1:24" ht="9" customHeight="1">
      <c r="A24" s="57"/>
      <c r="B24" s="58"/>
      <c r="C24" s="57"/>
      <c r="D24" s="224"/>
      <c r="E24" s="57"/>
      <c r="F24" s="224"/>
      <c r="G24" s="57"/>
      <c r="H24" s="224"/>
      <c r="I24" s="57"/>
      <c r="J24" s="224"/>
      <c r="K24" s="57"/>
      <c r="L24" s="224"/>
      <c r="M24" s="57"/>
      <c r="N24" s="55"/>
      <c r="O24" s="55"/>
    </row>
    <row r="25" spans="1:24" ht="16.5" customHeight="1">
      <c r="A25" s="55"/>
      <c r="B25" s="56"/>
      <c r="C25" s="63"/>
      <c r="D25" s="63"/>
      <c r="E25" s="63"/>
      <c r="F25" s="63"/>
      <c r="G25" s="63"/>
      <c r="H25" s="63"/>
      <c r="I25" s="63"/>
      <c r="J25" s="63"/>
      <c r="K25" s="63"/>
      <c r="L25" s="55"/>
      <c r="M25" s="55"/>
      <c r="N25" s="55"/>
      <c r="O25" s="55"/>
    </row>
    <row r="26" spans="1:24" ht="21.7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</row>
    <row r="27" spans="1:24" ht="6.75" customHeight="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</row>
    <row r="28" spans="1:24" ht="6" customHeight="1">
      <c r="A28" s="64"/>
      <c r="B28" s="64"/>
      <c r="C28" s="6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</row>
    <row r="29" spans="1:24" ht="4.5" customHeight="1">
      <c r="A29" s="64"/>
      <c r="B29" s="64"/>
      <c r="C29" s="6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</row>
    <row r="30" spans="1:24" ht="6" customHeight="1">
      <c r="A30" s="64"/>
      <c r="B30" s="64"/>
      <c r="C30" s="64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</row>
    <row r="31" spans="1:24" ht="6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</row>
    <row r="32" spans="1:24" ht="4.5" customHeight="1">
      <c r="A32" s="55"/>
      <c r="B32" s="55"/>
      <c r="C32" s="55"/>
      <c r="D32" s="55"/>
      <c r="E32" s="55"/>
      <c r="F32" s="55"/>
      <c r="G32" s="66"/>
      <c r="H32" s="66"/>
      <c r="I32" s="66"/>
      <c r="J32" s="66"/>
      <c r="K32" s="66"/>
      <c r="L32" s="55"/>
      <c r="M32" s="55"/>
      <c r="N32" s="55"/>
      <c r="O32" s="55"/>
    </row>
    <row r="33" spans="1:15" ht="18" customHeight="1">
      <c r="A33" s="67"/>
      <c r="B33" s="67"/>
      <c r="C33" s="67"/>
      <c r="D33" s="67"/>
      <c r="E33" s="67"/>
      <c r="F33" s="66"/>
      <c r="G33" s="66"/>
      <c r="H33" s="66"/>
      <c r="I33" s="66"/>
      <c r="J33" s="66"/>
      <c r="K33" s="66"/>
      <c r="L33" s="55"/>
      <c r="M33" s="55"/>
      <c r="N33" s="55"/>
      <c r="O33" s="55"/>
    </row>
    <row r="34" spans="1:15">
      <c r="A34" s="67"/>
      <c r="B34" s="67"/>
      <c r="C34" s="67"/>
      <c r="D34" s="67"/>
      <c r="E34" s="67"/>
      <c r="F34" s="66"/>
      <c r="G34" s="66"/>
      <c r="H34" s="66"/>
      <c r="I34" s="66"/>
      <c r="J34" s="66"/>
      <c r="K34" s="66"/>
      <c r="L34" s="55"/>
      <c r="M34" s="55"/>
      <c r="N34" s="55"/>
      <c r="O34" s="55"/>
    </row>
    <row r="35" spans="1:15">
      <c r="A35" s="67"/>
      <c r="B35" s="67"/>
      <c r="C35" s="67"/>
      <c r="D35" s="67"/>
      <c r="E35" s="67"/>
      <c r="F35" s="66"/>
      <c r="G35" s="66"/>
      <c r="H35" s="66"/>
      <c r="I35" s="66"/>
      <c r="J35" s="66"/>
      <c r="K35" s="66"/>
      <c r="L35" s="55"/>
      <c r="M35" s="55"/>
      <c r="N35" s="55"/>
      <c r="O35" s="55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90625-DE34-4C36-8C8A-8EC57FD71687}">
  <dimension ref="B1:N17"/>
  <sheetViews>
    <sheetView showGridLines="0" topLeftCell="A3" zoomScale="90" zoomScaleNormal="90" zoomScalePageLayoutView="70" workbookViewId="0">
      <selection activeCell="A3" sqref="A3"/>
    </sheetView>
  </sheetViews>
  <sheetFormatPr baseColWidth="10" defaultColWidth="11.42578125" defaultRowHeight="15" outlineLevelCol="1"/>
  <cols>
    <col min="1" max="1" width="5.42578125" style="88" customWidth="1"/>
    <col min="2" max="2" width="34.140625" style="88" customWidth="1"/>
    <col min="3" max="3" width="12.85546875" style="88" customWidth="1"/>
    <col min="4" max="5" width="12.85546875" style="88" customWidth="1" outlineLevel="1"/>
    <col min="6" max="7" width="12.85546875" style="88" customWidth="1"/>
    <col min="8" max="9" width="6.7109375" style="88" customWidth="1"/>
    <col min="10" max="10" width="12.85546875" style="88" customWidth="1"/>
    <col min="11" max="12" width="12.85546875" style="88" customWidth="1" outlineLevel="1"/>
    <col min="13" max="14" width="12.85546875" style="88" customWidth="1"/>
    <col min="15" max="15" width="10.85546875" style="88" customWidth="1"/>
    <col min="16" max="16384" width="11.42578125" style="88"/>
  </cols>
  <sheetData>
    <row r="1" spans="2:14" hidden="1">
      <c r="C1" s="86"/>
      <c r="D1" s="86"/>
      <c r="E1" s="86"/>
      <c r="F1" s="86"/>
      <c r="G1" s="86"/>
      <c r="J1" s="86"/>
      <c r="K1" s="86"/>
      <c r="L1" s="86"/>
      <c r="M1" s="86"/>
      <c r="N1" s="86"/>
    </row>
    <row r="2" spans="2:14" ht="14.25" hidden="1" customHeight="1">
      <c r="B2" s="1"/>
      <c r="C2" s="86"/>
      <c r="D2" s="86"/>
      <c r="E2" s="86"/>
      <c r="F2" s="86"/>
      <c r="G2" s="86"/>
      <c r="J2" s="86"/>
      <c r="K2" s="86"/>
      <c r="L2" s="86"/>
      <c r="M2" s="86"/>
      <c r="N2" s="86"/>
    </row>
    <row r="3" spans="2:14" ht="15.75">
      <c r="B3" s="3" t="s">
        <v>89</v>
      </c>
      <c r="C3" s="24"/>
      <c r="D3" s="24"/>
      <c r="E3" s="3"/>
      <c r="F3" s="3"/>
      <c r="G3" s="3"/>
      <c r="J3" s="3"/>
      <c r="K3" s="3"/>
      <c r="L3" s="3"/>
      <c r="M3" s="3"/>
      <c r="N3" s="3"/>
    </row>
    <row r="4" spans="2:14" ht="15.75">
      <c r="B4" s="85" t="s">
        <v>276</v>
      </c>
      <c r="C4" s="24"/>
      <c r="D4" s="24"/>
      <c r="E4" s="3"/>
      <c r="F4" s="3"/>
      <c r="G4" s="3"/>
      <c r="J4" s="3"/>
      <c r="K4" s="3"/>
      <c r="L4" s="3"/>
      <c r="M4" s="3"/>
      <c r="N4" s="3"/>
    </row>
    <row r="5" spans="2:14" ht="18.75" customHeight="1">
      <c r="B5" s="126"/>
      <c r="C5" s="127"/>
      <c r="D5" s="127"/>
      <c r="E5" s="127"/>
      <c r="F5" s="127"/>
      <c r="G5" s="127"/>
      <c r="H5" s="128"/>
      <c r="I5" s="128"/>
      <c r="J5" s="127"/>
      <c r="K5" s="127"/>
      <c r="L5" s="127"/>
      <c r="M5" s="127"/>
      <c r="N5" s="127"/>
    </row>
    <row r="6" spans="2:14" ht="18.75" customHeight="1">
      <c r="B6" s="129"/>
      <c r="C6" s="232" t="s">
        <v>277</v>
      </c>
      <c r="D6" s="233"/>
      <c r="E6" s="233"/>
      <c r="F6" s="233"/>
      <c r="G6" s="234"/>
      <c r="H6" s="128"/>
      <c r="I6" s="128"/>
      <c r="J6" s="232" t="s">
        <v>275</v>
      </c>
      <c r="K6" s="233"/>
      <c r="L6" s="233"/>
      <c r="M6" s="233"/>
      <c r="N6" s="234"/>
    </row>
    <row r="7" spans="2:14" ht="18.75" customHeight="1">
      <c r="B7" s="4"/>
      <c r="C7" s="8" t="s">
        <v>90</v>
      </c>
      <c r="D7" s="221" t="s">
        <v>91</v>
      </c>
      <c r="E7" s="235"/>
      <c r="F7" s="235"/>
      <c r="G7" s="222"/>
      <c r="H7" s="128"/>
      <c r="I7" s="128"/>
      <c r="J7" s="8" t="s">
        <v>90</v>
      </c>
      <c r="K7" s="221" t="s">
        <v>91</v>
      </c>
      <c r="L7" s="235"/>
      <c r="M7" s="235"/>
      <c r="N7" s="222"/>
    </row>
    <row r="8" spans="2:14" ht="36.75" customHeight="1">
      <c r="B8" s="4" t="s">
        <v>79</v>
      </c>
      <c r="C8" s="130" t="s">
        <v>92</v>
      </c>
      <c r="D8" s="131" t="s">
        <v>93</v>
      </c>
      <c r="E8" s="131" t="s">
        <v>94</v>
      </c>
      <c r="F8" s="130" t="s">
        <v>95</v>
      </c>
      <c r="G8" s="130" t="s">
        <v>96</v>
      </c>
      <c r="J8" s="130" t="s">
        <v>92</v>
      </c>
      <c r="K8" s="131" t="s">
        <v>93</v>
      </c>
      <c r="L8" s="131" t="s">
        <v>94</v>
      </c>
      <c r="M8" s="130" t="s">
        <v>95</v>
      </c>
      <c r="N8" s="130" t="s">
        <v>96</v>
      </c>
    </row>
    <row r="9" spans="2:14" s="10" customFormat="1" ht="18.75" customHeight="1">
      <c r="B9" s="6" t="s">
        <v>8</v>
      </c>
      <c r="C9" s="165">
        <f>THG!AK9/1000</f>
        <v>202.58241705156237</v>
      </c>
      <c r="D9" s="132">
        <v>2.1213203435596424</v>
      </c>
      <c r="E9" s="132">
        <v>2.1213203435596424</v>
      </c>
      <c r="F9" s="82">
        <f t="shared" ref="F9:F16" si="0">G9/100*C9</f>
        <v>6.0774725115468708</v>
      </c>
      <c r="G9" s="170">
        <v>3</v>
      </c>
      <c r="H9" s="88"/>
      <c r="I9" s="88"/>
      <c r="J9" s="26">
        <v>184.99388634258281</v>
      </c>
      <c r="K9" s="132">
        <v>2.3334523779156067</v>
      </c>
      <c r="L9" s="132">
        <v>2.1213203435596424</v>
      </c>
      <c r="M9" s="82">
        <v>5.8339106031220362</v>
      </c>
      <c r="N9" s="82">
        <v>3.1535694062442956</v>
      </c>
    </row>
    <row r="10" spans="2:14" s="10" customFormat="1" ht="18.75" customHeight="1">
      <c r="B10" s="5" t="s">
        <v>9</v>
      </c>
      <c r="C10" s="27">
        <f>THG!AK14/1000</f>
        <v>152.92373867221883</v>
      </c>
      <c r="D10" s="133">
        <v>1.2758104513180268</v>
      </c>
      <c r="E10" s="133">
        <v>1.9137156769770403</v>
      </c>
      <c r="F10" s="21">
        <f t="shared" si="0"/>
        <v>3.5172459894610331</v>
      </c>
      <c r="G10" s="164">
        <v>2.2999999999999998</v>
      </c>
      <c r="H10" s="88"/>
      <c r="I10" s="88"/>
      <c r="J10" s="27">
        <v>153.00727310826122</v>
      </c>
      <c r="K10" s="133">
        <v>1.6585535867134349</v>
      </c>
      <c r="L10" s="133">
        <v>1.9137156769770403</v>
      </c>
      <c r="M10" s="21">
        <v>3.8747736854659305</v>
      </c>
      <c r="N10" s="21">
        <v>2.532411438196347</v>
      </c>
    </row>
    <row r="11" spans="2:14" s="10" customFormat="1" ht="18.75" customHeight="1">
      <c r="B11" s="6" t="s">
        <v>10</v>
      </c>
      <c r="C11" s="26">
        <f>THG!AK21/1000</f>
        <v>102.93300019870455</v>
      </c>
      <c r="D11" s="132">
        <v>3.1304951684997055</v>
      </c>
      <c r="E11" s="132">
        <v>6.2609903369994111</v>
      </c>
      <c r="F11" s="82">
        <f t="shared" si="0"/>
        <v>7.2053100139093189</v>
      </c>
      <c r="G11" s="170">
        <v>7</v>
      </c>
      <c r="H11" s="88"/>
      <c r="I11" s="88"/>
      <c r="J11" s="26">
        <v>100.5362340247776</v>
      </c>
      <c r="K11" s="132">
        <v>4.6957427527495579</v>
      </c>
      <c r="L11" s="132">
        <v>6.2609903369994111</v>
      </c>
      <c r="M11" s="82">
        <v>7.8682048718430497</v>
      </c>
      <c r="N11" s="82">
        <v>7.8262379212492643</v>
      </c>
    </row>
    <row r="12" spans="2:14" s="10" customFormat="1" ht="18.75" customHeight="1">
      <c r="B12" s="5" t="s">
        <v>14</v>
      </c>
      <c r="C12" s="166">
        <f>THG!AK26/1000</f>
        <v>145.13115862852723</v>
      </c>
      <c r="D12" s="133">
        <v>2.2360679774997898</v>
      </c>
      <c r="E12" s="133">
        <v>4.4721359549995796</v>
      </c>
      <c r="F12" s="21">
        <f t="shared" si="0"/>
        <v>7.2565579314263617</v>
      </c>
      <c r="G12" s="164">
        <v>5</v>
      </c>
      <c r="H12" s="88"/>
      <c r="I12" s="88"/>
      <c r="J12" s="27">
        <v>143.05476824815369</v>
      </c>
      <c r="K12" s="133">
        <v>2.3031500168247834</v>
      </c>
      <c r="L12" s="133">
        <v>4.4721359549995796</v>
      </c>
      <c r="M12" s="21">
        <v>7.1961667502853039</v>
      </c>
      <c r="N12" s="21">
        <v>5.0303578401541182</v>
      </c>
    </row>
    <row r="13" spans="2:14" s="10" customFormat="1" ht="18.75" customHeight="1">
      <c r="B13" s="6" t="s">
        <v>15</v>
      </c>
      <c r="C13" s="165">
        <f>THG!AK32/1000</f>
        <v>62.959986688698208</v>
      </c>
      <c r="D13" s="132">
        <v>2.9221304135589423</v>
      </c>
      <c r="E13" s="132">
        <v>14.610652067794712</v>
      </c>
      <c r="F13" s="82">
        <f t="shared" si="0"/>
        <v>9.3810380166160332</v>
      </c>
      <c r="G13" s="170">
        <v>14.9</v>
      </c>
      <c r="H13" s="88"/>
      <c r="I13" s="88"/>
      <c r="J13" s="26">
        <v>62.110993623271767</v>
      </c>
      <c r="K13" s="132">
        <v>3.2143434549148369</v>
      </c>
      <c r="L13" s="132">
        <v>14.610652067794712</v>
      </c>
      <c r="M13" s="82">
        <v>9.2918369821539706</v>
      </c>
      <c r="N13" s="82">
        <v>14.960052061818091</v>
      </c>
    </row>
    <row r="14" spans="2:14" s="10" customFormat="1" ht="18.75" customHeight="1">
      <c r="B14" s="5" t="s">
        <v>16</v>
      </c>
      <c r="C14" s="166">
        <f>THG!AK42/1000</f>
        <v>5.4900232878830186</v>
      </c>
      <c r="D14" s="133">
        <v>32.594501659966184</v>
      </c>
      <c r="E14" s="133">
        <v>162.97250829983091</v>
      </c>
      <c r="F14" s="21">
        <f t="shared" si="0"/>
        <v>9.1244187044615757</v>
      </c>
      <c r="G14" s="164">
        <v>166.2</v>
      </c>
      <c r="H14" s="88"/>
      <c r="I14" s="88"/>
      <c r="J14" s="27">
        <v>5.355503945398727</v>
      </c>
      <c r="K14" s="133">
        <v>35.853951825962803</v>
      </c>
      <c r="L14" s="133">
        <v>162.97250829983091</v>
      </c>
      <c r="M14" s="21">
        <v>8.9367209966984227</v>
      </c>
      <c r="N14" s="21">
        <v>166.86984246135344</v>
      </c>
    </row>
    <row r="15" spans="2:14" s="10" customFormat="1" ht="18.75" customHeight="1">
      <c r="B15" s="6" t="s">
        <v>75</v>
      </c>
      <c r="C15" s="165">
        <f>THG!AK48/1000</f>
        <v>68.652803898296483</v>
      </c>
      <c r="D15" s="132">
        <v>3.4908672054596757</v>
      </c>
      <c r="E15" s="132">
        <v>17.454336027298378</v>
      </c>
      <c r="F15" s="82">
        <f t="shared" si="0"/>
        <v>12.220199093896776</v>
      </c>
      <c r="G15" s="170">
        <v>17.8</v>
      </c>
      <c r="H15" s="88"/>
      <c r="I15" s="88"/>
      <c r="J15" s="26">
        <v>51.28869739578321</v>
      </c>
      <c r="K15" s="132">
        <v>4.5381273670975784</v>
      </c>
      <c r="L15" s="132">
        <v>17.454336027298378</v>
      </c>
      <c r="M15" s="82">
        <v>9.2497348684232055</v>
      </c>
      <c r="N15" s="82">
        <v>18.034645717447464</v>
      </c>
    </row>
    <row r="16" spans="2:14" s="10" customFormat="1" ht="18.75" customHeight="1">
      <c r="B16" s="134" t="s">
        <v>85</v>
      </c>
      <c r="C16" s="135">
        <f>SUM(C9:C14)</f>
        <v>672.0203245275942</v>
      </c>
      <c r="D16" s="136"/>
      <c r="E16" s="136"/>
      <c r="F16" s="137">
        <f t="shared" si="0"/>
        <v>18.265512420660009</v>
      </c>
      <c r="G16" s="137">
        <v>2.718</v>
      </c>
      <c r="H16" s="88"/>
      <c r="I16" s="88"/>
      <c r="J16" s="135">
        <v>649.05865929244578</v>
      </c>
      <c r="K16" s="136"/>
      <c r="L16" s="136"/>
      <c r="M16" s="137">
        <v>18.136842738408468</v>
      </c>
      <c r="N16" s="137">
        <v>2.79433029337901</v>
      </c>
    </row>
    <row r="17" ht="18.75" customHeight="1"/>
  </sheetData>
  <mergeCells count="4">
    <mergeCell ref="C6:G6"/>
    <mergeCell ref="J6:N6"/>
    <mergeCell ref="D7:G7"/>
    <mergeCell ref="K7:N7"/>
  </mergeCells>
  <pageMargins left="0.70866141732283472" right="0.70866141732283472" top="0.78740157480314965" bottom="0.78740157480314965" header="1.1811023622047245" footer="1.1811023622047245"/>
  <pageSetup paperSize="9" scale="69" orientation="landscape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28D79-9645-47C9-A680-6B05E14933E8}">
  <dimension ref="B1:AO44"/>
  <sheetViews>
    <sheetView showGridLines="0" topLeftCell="A19" zoomScaleNormal="100" zoomScalePageLayoutView="70" workbookViewId="0">
      <selection activeCell="B51" sqref="B51"/>
    </sheetView>
  </sheetViews>
  <sheetFormatPr baseColWidth="10" defaultColWidth="11.42578125" defaultRowHeight="15" outlineLevelRow="1" outlineLevelCol="3"/>
  <cols>
    <col min="1" max="1" width="5.42578125" style="88" customWidth="1"/>
    <col min="2" max="2" width="37.140625" style="88" customWidth="1"/>
    <col min="3" max="3" width="16.7109375" style="17" hidden="1" customWidth="1"/>
    <col min="4" max="4" width="10.85546875" style="88" customWidth="1"/>
    <col min="5" max="8" width="10.85546875" style="88" hidden="1" customWidth="1" outlineLevel="2"/>
    <col min="9" max="9" width="10.85546875" style="88" hidden="1" customWidth="1" outlineLevel="1"/>
    <col min="10" max="13" width="10.85546875" style="88" hidden="1" customWidth="1" outlineLevel="2"/>
    <col min="14" max="14" width="10.85546875" style="88" customWidth="1" collapsed="1"/>
    <col min="15" max="18" width="10.85546875" style="88" hidden="1" customWidth="1" outlineLevel="3"/>
    <col min="19" max="19" width="10.85546875" style="88" hidden="1" customWidth="1" outlineLevel="2" collapsed="1"/>
    <col min="20" max="23" width="10.85546875" style="88" hidden="1" customWidth="1" outlineLevel="3"/>
    <col min="24" max="24" width="10.85546875" style="88" customWidth="1" collapsed="1"/>
    <col min="25" max="28" width="10.85546875" style="88" hidden="1" customWidth="1" outlineLevel="1"/>
    <col min="29" max="29" width="10.85546875" style="88" customWidth="1" collapsed="1"/>
    <col min="30" max="33" width="10.85546875" style="88" customWidth="1" outlineLevel="1"/>
    <col min="34" max="35" width="10.85546875" style="88" customWidth="1"/>
    <col min="36" max="38" width="10.85546875" style="150" customWidth="1"/>
    <col min="39" max="39" width="2.7109375" style="88" customWidth="1"/>
    <col min="40" max="42" width="10.85546875" style="88" customWidth="1"/>
    <col min="43" max="16384" width="11.42578125" style="88"/>
  </cols>
  <sheetData>
    <row r="1" spans="2:41"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N1" s="86"/>
      <c r="AO1" s="86"/>
    </row>
    <row r="2" spans="2:41" ht="14.25" customHeight="1">
      <c r="B2" s="1"/>
      <c r="C2" s="11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N2" s="86"/>
      <c r="AO2" s="86"/>
    </row>
    <row r="3" spans="2:41" ht="31.5">
      <c r="B3" s="124" t="s">
        <v>88</v>
      </c>
      <c r="C3" s="12"/>
      <c r="D3" s="24"/>
      <c r="E3" s="2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N3" s="3"/>
      <c r="AO3" s="3"/>
    </row>
    <row r="4" spans="2:41" ht="18.75" customHeight="1">
      <c r="B4" s="3"/>
      <c r="C4" s="12"/>
      <c r="D4" s="24"/>
      <c r="E4" s="2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N4" s="221" t="s">
        <v>273</v>
      </c>
      <c r="AO4" s="222"/>
    </row>
    <row r="5" spans="2:41" ht="18.75" customHeight="1">
      <c r="B5" s="4" t="s">
        <v>84</v>
      </c>
      <c r="C5" s="13"/>
      <c r="D5" s="8">
        <v>32874</v>
      </c>
      <c r="E5" s="8">
        <v>33239</v>
      </c>
      <c r="F5" s="8">
        <v>33604</v>
      </c>
      <c r="G5" s="8">
        <v>33970</v>
      </c>
      <c r="H5" s="8">
        <v>34335</v>
      </c>
      <c r="I5" s="8">
        <v>34700</v>
      </c>
      <c r="J5" s="8">
        <v>35065</v>
      </c>
      <c r="K5" s="8">
        <v>35431</v>
      </c>
      <c r="L5" s="8">
        <v>35796</v>
      </c>
      <c r="M5" s="8">
        <v>36161</v>
      </c>
      <c r="N5" s="8">
        <v>36526</v>
      </c>
      <c r="O5" s="8">
        <v>36892</v>
      </c>
      <c r="P5" s="8">
        <v>37257</v>
      </c>
      <c r="Q5" s="8">
        <v>37622</v>
      </c>
      <c r="R5" s="8">
        <v>37987</v>
      </c>
      <c r="S5" s="8">
        <v>38353</v>
      </c>
      <c r="T5" s="8">
        <v>38718</v>
      </c>
      <c r="U5" s="8">
        <v>39083</v>
      </c>
      <c r="V5" s="8">
        <v>39448</v>
      </c>
      <c r="W5" s="8">
        <v>39814</v>
      </c>
      <c r="X5" s="8">
        <v>40179</v>
      </c>
      <c r="Y5" s="8">
        <v>40544</v>
      </c>
      <c r="Z5" s="8">
        <v>40909</v>
      </c>
      <c r="AA5" s="8">
        <v>41275</v>
      </c>
      <c r="AB5" s="8">
        <v>41640</v>
      </c>
      <c r="AC5" s="8">
        <v>42005</v>
      </c>
      <c r="AD5" s="8">
        <v>42370</v>
      </c>
      <c r="AE5" s="8">
        <v>42736</v>
      </c>
      <c r="AF5" s="8">
        <v>43101</v>
      </c>
      <c r="AG5" s="8">
        <v>43466</v>
      </c>
      <c r="AH5" s="8">
        <v>43831</v>
      </c>
      <c r="AI5" s="8">
        <v>44197</v>
      </c>
      <c r="AJ5" s="155">
        <v>44562</v>
      </c>
      <c r="AK5" s="155">
        <v>44927</v>
      </c>
      <c r="AL5" s="155">
        <v>45292</v>
      </c>
      <c r="AN5" s="8" t="s">
        <v>86</v>
      </c>
      <c r="AO5" s="8" t="s">
        <v>87</v>
      </c>
    </row>
    <row r="6" spans="2:41" s="10" customFormat="1" ht="18.75" customHeight="1">
      <c r="B6" s="6" t="s">
        <v>85</v>
      </c>
      <c r="C6" s="22" t="s">
        <v>3</v>
      </c>
      <c r="D6" s="26">
        <f>THG!D6</f>
        <v>1252397.3379769335</v>
      </c>
      <c r="E6" s="26">
        <f>THG!E6</f>
        <v>1206567.4624502501</v>
      </c>
      <c r="F6" s="26">
        <f>THG!F6</f>
        <v>1157074.4128812498</v>
      </c>
      <c r="G6" s="26">
        <f>THG!G6</f>
        <v>1147917.3742706492</v>
      </c>
      <c r="H6" s="26">
        <f>THG!H6</f>
        <v>1129646.3103331376</v>
      </c>
      <c r="I6" s="26">
        <f>THG!I6</f>
        <v>1122690.5807970683</v>
      </c>
      <c r="J6" s="26">
        <f>THG!J6</f>
        <v>1140026.4964040145</v>
      </c>
      <c r="K6" s="26">
        <f>THG!K6</f>
        <v>1104232.8316643634</v>
      </c>
      <c r="L6" s="26">
        <f>THG!L6</f>
        <v>1079170.8689804224</v>
      </c>
      <c r="M6" s="26">
        <f>THG!M6</f>
        <v>1045171.8487015408</v>
      </c>
      <c r="N6" s="26">
        <f>THG!N6</f>
        <v>1042347.0185475874</v>
      </c>
      <c r="O6" s="26">
        <f>THG!O6</f>
        <v>1056831.4212003485</v>
      </c>
      <c r="P6" s="26">
        <f>THG!P6</f>
        <v>1035156.772890832</v>
      </c>
      <c r="Q6" s="26">
        <f>THG!Q6</f>
        <v>1026713.7061552338</v>
      </c>
      <c r="R6" s="26">
        <f>THG!R6</f>
        <v>1003305.7335300521</v>
      </c>
      <c r="S6" s="26">
        <f>THG!S6</f>
        <v>989744.21910110465</v>
      </c>
      <c r="T6" s="26">
        <f>THG!T6</f>
        <v>1003267.4299326952</v>
      </c>
      <c r="U6" s="26">
        <f>THG!U6</f>
        <v>962985.93660473358</v>
      </c>
      <c r="V6" s="26">
        <f>THG!V6</f>
        <v>971035.794285957</v>
      </c>
      <c r="W6" s="26">
        <f>THG!W6</f>
        <v>902261.55456223176</v>
      </c>
      <c r="X6" s="26">
        <f>THG!X6</f>
        <v>930249.826224669</v>
      </c>
      <c r="Y6" s="26">
        <f>THG!Y6</f>
        <v>906735.16014846973</v>
      </c>
      <c r="Z6" s="26">
        <f>THG!Z6</f>
        <v>916997.1852129394</v>
      </c>
      <c r="AA6" s="26">
        <f>THG!AA6</f>
        <v>933985.93201660889</v>
      </c>
      <c r="AB6" s="26">
        <f>THG!AB6</f>
        <v>893549.48646293418</v>
      </c>
      <c r="AC6" s="26">
        <f>THG!AC6</f>
        <v>901825.99818886572</v>
      </c>
      <c r="AD6" s="26">
        <f>THG!AD6</f>
        <v>897287.22660375014</v>
      </c>
      <c r="AE6" s="26">
        <f>THG!AE6</f>
        <v>882232.05367278948</v>
      </c>
      <c r="AF6" s="26">
        <f>THG!AF6</f>
        <v>852858.34189211612</v>
      </c>
      <c r="AG6" s="26">
        <f>THG!AG6</f>
        <v>798048.05134671507</v>
      </c>
      <c r="AH6" s="165">
        <f>THG!AH6</f>
        <v>732993.34173127508</v>
      </c>
      <c r="AI6" s="165">
        <f>THG!AI6</f>
        <v>761426.75498079986</v>
      </c>
      <c r="AJ6" s="165">
        <f>THG!AJ6</f>
        <v>748792.71341377706</v>
      </c>
      <c r="AK6" s="165">
        <f>THG!AK6</f>
        <v>672020.32452759414</v>
      </c>
      <c r="AL6" s="165">
        <f>THG!AL6</f>
        <v>649058.65929244587</v>
      </c>
      <c r="AN6" s="123">
        <f>AL6-AK6</f>
        <v>-22961.665235148277</v>
      </c>
      <c r="AO6" s="121">
        <f>IF(AL6&lt;&gt;0,AL6/AK6-1,0)</f>
        <v>-3.4168111286350555E-2</v>
      </c>
    </row>
    <row r="7" spans="2:41" s="10" customFormat="1" ht="18.75" customHeight="1">
      <c r="B7" s="23" t="s">
        <v>81</v>
      </c>
      <c r="C7" s="20" t="s">
        <v>3</v>
      </c>
      <c r="D7" s="27">
        <f>'CO2'!D6</f>
        <v>1054795.857282981</v>
      </c>
      <c r="E7" s="27">
        <f>'CO2'!E6</f>
        <v>1016929.5152097743</v>
      </c>
      <c r="F7" s="27">
        <f>'CO2'!F6</f>
        <v>969464.40752345184</v>
      </c>
      <c r="G7" s="27">
        <f>'CO2'!G6</f>
        <v>959385.87814651965</v>
      </c>
      <c r="H7" s="27">
        <f>'CO2'!H6</f>
        <v>943227.65450113092</v>
      </c>
      <c r="I7" s="27">
        <f>'CO2'!I6</f>
        <v>939933.62027622527</v>
      </c>
      <c r="J7" s="27">
        <f>'CO2'!J6</f>
        <v>959690.1226426299</v>
      </c>
      <c r="K7" s="27">
        <f>'CO2'!K6</f>
        <v>931508.10035694099</v>
      </c>
      <c r="L7" s="27">
        <f>'CO2'!L6</f>
        <v>923498.64295613952</v>
      </c>
      <c r="M7" s="27">
        <f>'CO2'!M6</f>
        <v>895442.08169777552</v>
      </c>
      <c r="N7" s="27">
        <f>'CO2'!N6</f>
        <v>898975.77060410124</v>
      </c>
      <c r="O7" s="27">
        <f>'CO2'!O6</f>
        <v>915254.7542405955</v>
      </c>
      <c r="P7" s="27">
        <f>'CO2'!P6</f>
        <v>898834.27379729634</v>
      </c>
      <c r="Q7" s="27">
        <f>'CO2'!Q6</f>
        <v>894501.07095436251</v>
      </c>
      <c r="R7" s="27">
        <f>'CO2'!R6</f>
        <v>876569.91534326458</v>
      </c>
      <c r="S7" s="27">
        <f>'CO2'!S6</f>
        <v>867880.51230584504</v>
      </c>
      <c r="T7" s="27">
        <f>'CO2'!T6</f>
        <v>886434.34748819668</v>
      </c>
      <c r="U7" s="27">
        <f>'CO2'!U6</f>
        <v>846152.96672214533</v>
      </c>
      <c r="V7" s="27">
        <f>'CO2'!V6</f>
        <v>856642.51550101128</v>
      </c>
      <c r="W7" s="27">
        <f>'CO2'!W6</f>
        <v>789983.93530676584</v>
      </c>
      <c r="X7" s="27">
        <f>'CO2'!X6</f>
        <v>826704.68605839298</v>
      </c>
      <c r="Y7" s="27">
        <f>'CO2'!Y6</f>
        <v>804541.58304951526</v>
      </c>
      <c r="Z7" s="27">
        <f>'CO2'!Z6</f>
        <v>814093.003007147</v>
      </c>
      <c r="AA7" s="27">
        <f>'CO2'!AA6</f>
        <v>831745.56209812954</v>
      </c>
      <c r="AB7" s="27">
        <f>'CO2'!AB6</f>
        <v>792583.59618273145</v>
      </c>
      <c r="AC7" s="27">
        <f>'CO2'!AC6</f>
        <v>800822.48376771784</v>
      </c>
      <c r="AD7" s="27">
        <f>'CO2'!AD6</f>
        <v>797988.26919692359</v>
      </c>
      <c r="AE7" s="27">
        <f>'CO2'!AE6</f>
        <v>784595.15201252943</v>
      </c>
      <c r="AF7" s="27">
        <f>'CO2'!AF6</f>
        <v>758771.36747485516</v>
      </c>
      <c r="AG7" s="27">
        <f>'CO2'!AG6</f>
        <v>708648.95703536202</v>
      </c>
      <c r="AH7" s="166">
        <f>'CO2'!AH6</f>
        <v>647176.84410498058</v>
      </c>
      <c r="AI7" s="166">
        <f>'CO2'!AI6</f>
        <v>677997.68850281835</v>
      </c>
      <c r="AJ7" s="166">
        <f>'CO2'!AJ6</f>
        <v>667843.04517971328</v>
      </c>
      <c r="AK7" s="166">
        <f>'CO2'!AK6</f>
        <v>593766.01601629157</v>
      </c>
      <c r="AL7" s="166">
        <f>'CO2'!AL6</f>
        <v>572497.74678935611</v>
      </c>
      <c r="AN7" s="122">
        <f>AL7-AK7</f>
        <v>-21268.269226935459</v>
      </c>
      <c r="AO7" s="120">
        <f>IF(AL7&lt;&gt;0,AL7/AK7-1,0)</f>
        <v>-3.5819276707058756E-2</v>
      </c>
    </row>
    <row r="8" spans="2:41" s="10" customFormat="1" ht="18.75" customHeight="1">
      <c r="B8" s="25" t="s">
        <v>82</v>
      </c>
      <c r="C8" s="22" t="s">
        <v>3</v>
      </c>
      <c r="D8" s="26">
        <f>'CH4'!D6</f>
        <v>133423.63654332564</v>
      </c>
      <c r="E8" s="26">
        <f>'CH4'!E6</f>
        <v>127169.16636662566</v>
      </c>
      <c r="F8" s="26">
        <f>'CH4'!F6</f>
        <v>123278.66542786403</v>
      </c>
      <c r="G8" s="26">
        <f>'CH4'!G6</f>
        <v>124169.21018997046</v>
      </c>
      <c r="H8" s="26">
        <f>'CH4'!H6</f>
        <v>119347.92658888467</v>
      </c>
      <c r="I8" s="26">
        <f>'CH4'!I6</f>
        <v>116729.80945475296</v>
      </c>
      <c r="J8" s="26">
        <f>'CH4'!J6</f>
        <v>113666.91745090811</v>
      </c>
      <c r="K8" s="26">
        <f>'CH4'!K6</f>
        <v>108488.59338619435</v>
      </c>
      <c r="L8" s="26">
        <f>'CH4'!L6</f>
        <v>102718.17065693595</v>
      </c>
      <c r="M8" s="26">
        <f>'CH4'!M6</f>
        <v>101516.13052184205</v>
      </c>
      <c r="N8" s="26">
        <f>'CH4'!N6</f>
        <v>96948.079395398527</v>
      </c>
      <c r="O8" s="26">
        <f>'CH4'!O6</f>
        <v>92831.431034164751</v>
      </c>
      <c r="P8" s="26">
        <f>'CH4'!P6</f>
        <v>88139.701209593128</v>
      </c>
      <c r="Q8" s="26">
        <f>'CH4'!Q6</f>
        <v>84161.919840379138</v>
      </c>
      <c r="R8" s="26">
        <f>'CH4'!R6</f>
        <v>77361.076140174817</v>
      </c>
      <c r="S8" s="26">
        <f>'CH4'!S6</f>
        <v>73456.155233078258</v>
      </c>
      <c r="T8" s="26">
        <f>'CH4'!T6</f>
        <v>69082.460491295875</v>
      </c>
      <c r="U8" s="26">
        <f>'CH4'!U6</f>
        <v>66564.990632252506</v>
      </c>
      <c r="V8" s="26">
        <f>'CH4'!V6</f>
        <v>65178.666853051633</v>
      </c>
      <c r="W8" s="26">
        <f>'CH4'!W6</f>
        <v>62345.01560635084</v>
      </c>
      <c r="X8" s="26">
        <f>'CH4'!X6</f>
        <v>61004.393251293841</v>
      </c>
      <c r="Y8" s="26">
        <f>'CH4'!Y6</f>
        <v>59407.345164731509</v>
      </c>
      <c r="Z8" s="26">
        <f>'CH4'!Z6</f>
        <v>59773.858223500247</v>
      </c>
      <c r="AA8" s="26">
        <f>'CH4'!AA6</f>
        <v>58830.921435888267</v>
      </c>
      <c r="AB8" s="26">
        <f>'CH4'!AB6</f>
        <v>57288.393331791187</v>
      </c>
      <c r="AC8" s="26">
        <f>'CH4'!AC6</f>
        <v>56798.260413730954</v>
      </c>
      <c r="AD8" s="26">
        <f>'CH4'!AD6</f>
        <v>55057.120663728667</v>
      </c>
      <c r="AE8" s="26">
        <f>'CH4'!AE6</f>
        <v>54188.352682339355</v>
      </c>
      <c r="AF8" s="26">
        <f>'CH4'!AF6</f>
        <v>51943.336881058727</v>
      </c>
      <c r="AG8" s="26">
        <f>'CH4'!AG6</f>
        <v>49117.660649051402</v>
      </c>
      <c r="AH8" s="165">
        <f>'CH4'!AH6</f>
        <v>47895.676735632514</v>
      </c>
      <c r="AI8" s="165">
        <f>'CH4'!AI6</f>
        <v>46819.350012725925</v>
      </c>
      <c r="AJ8" s="165">
        <f>'CH4'!AJ6</f>
        <v>45705.326824729505</v>
      </c>
      <c r="AK8" s="165">
        <f>'CH4'!AK6</f>
        <v>44933.512434471289</v>
      </c>
      <c r="AL8" s="165">
        <f>'CH4'!AL6</f>
        <v>43919.538586790477</v>
      </c>
      <c r="AN8" s="123">
        <f>AL8-AK8</f>
        <v>-1013.9738476808125</v>
      </c>
      <c r="AO8" s="121">
        <f>IF(AL8&lt;&gt;0,AL8/AK8-1,0)</f>
        <v>-2.2566093606849469E-2</v>
      </c>
    </row>
    <row r="9" spans="2:41" s="10" customFormat="1" ht="18.75" customHeight="1">
      <c r="B9" s="23" t="s">
        <v>83</v>
      </c>
      <c r="C9" s="20" t="s">
        <v>3</v>
      </c>
      <c r="D9" s="27">
        <f>N2O!D6</f>
        <v>51853.657000555657</v>
      </c>
      <c r="E9" s="27">
        <f>N2O!E6</f>
        <v>50578.97347412807</v>
      </c>
      <c r="F9" s="27">
        <f>N2O!F6</f>
        <v>51949.63396095905</v>
      </c>
      <c r="G9" s="27">
        <f>N2O!G6</f>
        <v>49353.818759725611</v>
      </c>
      <c r="H9" s="27">
        <f>N2O!H6</f>
        <v>51621.847266195495</v>
      </c>
      <c r="I9" s="27">
        <f>N2O!I6</f>
        <v>50005.620531212007</v>
      </c>
      <c r="J9" s="27">
        <f>N2O!J6</f>
        <v>51459.79719659168</v>
      </c>
      <c r="K9" s="27">
        <f>N2O!K6</f>
        <v>48811.022431199788</v>
      </c>
      <c r="L9" s="27">
        <f>N2O!L6</f>
        <v>37043.652710902606</v>
      </c>
      <c r="M9" s="27">
        <f>N2O!M6</f>
        <v>34012.60657391532</v>
      </c>
      <c r="N9" s="27">
        <f>N2O!N6</f>
        <v>33687.602137949296</v>
      </c>
      <c r="O9" s="27">
        <f>N2O!O6</f>
        <v>35334.5281154759</v>
      </c>
      <c r="P9" s="27">
        <f>N2O!P6</f>
        <v>34743.519850794182</v>
      </c>
      <c r="Q9" s="27">
        <f>N2O!Q6</f>
        <v>35084.202763978632</v>
      </c>
      <c r="R9" s="27">
        <f>N2O!R6</f>
        <v>35988.837702165867</v>
      </c>
      <c r="S9" s="27">
        <f>N2O!S6</f>
        <v>34829.416454705148</v>
      </c>
      <c r="T9" s="27">
        <f>N2O!T6</f>
        <v>34258.638431075815</v>
      </c>
      <c r="U9" s="27">
        <f>N2O!U6</f>
        <v>36672.26222016559</v>
      </c>
      <c r="V9" s="27">
        <f>N2O!V6</f>
        <v>35629.106781408082</v>
      </c>
      <c r="W9" s="27">
        <f>N2O!W6</f>
        <v>35943.536105262094</v>
      </c>
      <c r="X9" s="27">
        <f>N2O!X6</f>
        <v>28892.636583606989</v>
      </c>
      <c r="Y9" s="27">
        <f>N2O!Y6</f>
        <v>28924.766295394846</v>
      </c>
      <c r="Z9" s="27">
        <f>N2O!Z6</f>
        <v>29057.749016965281</v>
      </c>
      <c r="AA9" s="27">
        <f>N2O!AA6</f>
        <v>29312.760042200505</v>
      </c>
      <c r="AB9" s="27">
        <f>N2O!AB6</f>
        <v>29578.55687959434</v>
      </c>
      <c r="AC9" s="27">
        <f>N2O!AC6</f>
        <v>29671.818656569307</v>
      </c>
      <c r="AD9" s="27">
        <f>N2O!AD6</f>
        <v>29606.580483533155</v>
      </c>
      <c r="AE9" s="27">
        <f>N2O!AE6</f>
        <v>28809.689152650601</v>
      </c>
      <c r="AF9" s="27">
        <f>N2O!AF6</f>
        <v>28378.60038202913</v>
      </c>
      <c r="AG9" s="27">
        <f>N2O!AG6</f>
        <v>27258.910405918163</v>
      </c>
      <c r="AH9" s="166">
        <f>N2O!AH6</f>
        <v>26411.2470311221</v>
      </c>
      <c r="AI9" s="166">
        <f>N2O!AI6</f>
        <v>25752.08006409448</v>
      </c>
      <c r="AJ9" s="166">
        <f>N2O!AJ6</f>
        <v>25352.026159423353</v>
      </c>
      <c r="AK9" s="166">
        <f>N2O!AK6</f>
        <v>23925.861923886834</v>
      </c>
      <c r="AL9" s="166">
        <f>N2O!AL6</f>
        <v>23641.373988732928</v>
      </c>
      <c r="AN9" s="122">
        <f>AL9-AK9</f>
        <v>-284.48793515390571</v>
      </c>
      <c r="AO9" s="120">
        <f>IF(AL9&lt;&gt;0,AL9/AK9-1,0)</f>
        <v>-1.1890394421689821E-2</v>
      </c>
    </row>
    <row r="10" spans="2:41" s="10" customFormat="1" ht="18.75" customHeight="1">
      <c r="B10" s="25" t="s">
        <v>70</v>
      </c>
      <c r="C10" s="22" t="s">
        <v>3</v>
      </c>
      <c r="D10" s="26">
        <f>'F-Gase'!D6</f>
        <v>12324.187150071186</v>
      </c>
      <c r="E10" s="26">
        <f>'F-Gase'!E6</f>
        <v>11889.807399721816</v>
      </c>
      <c r="F10" s="26">
        <f>'F-Gase'!F6</f>
        <v>12381.705968974831</v>
      </c>
      <c r="G10" s="26">
        <f>'F-Gase'!G6</f>
        <v>15008.467174433375</v>
      </c>
      <c r="H10" s="26">
        <f>'F-Gase'!H6</f>
        <v>15448.881976926128</v>
      </c>
      <c r="I10" s="26">
        <f>'F-Gase'!I6</f>
        <v>16021.530534878271</v>
      </c>
      <c r="J10" s="26">
        <f>'F-Gase'!J6</f>
        <v>15209.659113885164</v>
      </c>
      <c r="K10" s="26">
        <f>'F-Gase'!K6</f>
        <v>15425.115490028131</v>
      </c>
      <c r="L10" s="26">
        <f>'F-Gase'!L6</f>
        <v>15910.402656444341</v>
      </c>
      <c r="M10" s="26">
        <f>'F-Gase'!M6</f>
        <v>14201.029908007986</v>
      </c>
      <c r="N10" s="26">
        <f>'F-Gase'!N6</f>
        <v>12735.566410138445</v>
      </c>
      <c r="O10" s="26">
        <f>'F-Gase'!O6</f>
        <v>13410.707810112539</v>
      </c>
      <c r="P10" s="26">
        <f>'F-Gase'!P6</f>
        <v>13439.278033148192</v>
      </c>
      <c r="Q10" s="26">
        <f>'F-Gase'!Q6</f>
        <v>12966.512596513325</v>
      </c>
      <c r="R10" s="26">
        <f>'F-Gase'!R6</f>
        <v>13385.904344446997</v>
      </c>
      <c r="S10" s="26">
        <f>'F-Gase'!S6</f>
        <v>13578.135107476022</v>
      </c>
      <c r="T10" s="26">
        <f>'F-Gase'!T6</f>
        <v>13491.98352212672</v>
      </c>
      <c r="U10" s="26">
        <f>'F-Gase'!U6</f>
        <v>13595.717030170084</v>
      </c>
      <c r="V10" s="26">
        <f>'F-Gase'!V6</f>
        <v>13585.505150486066</v>
      </c>
      <c r="W10" s="26">
        <f>'F-Gase'!W6</f>
        <v>13989.067543853145</v>
      </c>
      <c r="X10" s="26">
        <f>'F-Gase'!X6</f>
        <v>13648.11033137545</v>
      </c>
      <c r="Y10" s="26">
        <f>'F-Gase'!Y6</f>
        <v>13861.46563882814</v>
      </c>
      <c r="Z10" s="26">
        <f>'F-Gase'!Z6</f>
        <v>14072.574965326778</v>
      </c>
      <c r="AA10" s="26">
        <f>'F-Gase'!AA6</f>
        <v>14096.688440390568</v>
      </c>
      <c r="AB10" s="26">
        <f>'F-Gase'!AB6</f>
        <v>14098.940068817321</v>
      </c>
      <c r="AC10" s="26">
        <f>'F-Gase'!AC6</f>
        <v>14533.435350847612</v>
      </c>
      <c r="AD10" s="26">
        <f>'F-Gase'!AD6</f>
        <v>14635.256259564572</v>
      </c>
      <c r="AE10" s="26">
        <f>'F-Gase'!AE6</f>
        <v>14638.859825270103</v>
      </c>
      <c r="AF10" s="26">
        <f>'F-Gase'!AF6</f>
        <v>13765.037154173222</v>
      </c>
      <c r="AG10" s="26">
        <f>'F-Gase'!AG6</f>
        <v>13022.523256383691</v>
      </c>
      <c r="AH10" s="165">
        <f>'F-Gase'!AH6</f>
        <v>11509.57385953984</v>
      </c>
      <c r="AI10" s="165">
        <f>'F-Gase'!AI6</f>
        <v>10857.636401161088</v>
      </c>
      <c r="AJ10" s="165">
        <f>'F-Gase'!AJ6</f>
        <v>9892.3152499109801</v>
      </c>
      <c r="AK10" s="165">
        <f>'F-Gase'!AK6</f>
        <v>9394.9341529444519</v>
      </c>
      <c r="AL10" s="165">
        <f>'F-Gase'!AL6</f>
        <v>8999.9999275663849</v>
      </c>
      <c r="AN10" s="123">
        <f>AL10-AK10</f>
        <v>-394.93422537806691</v>
      </c>
      <c r="AO10" s="121">
        <f>IF(AL10&lt;&gt;0,AL10/AK10-1,0)</f>
        <v>-4.2036933835698176E-2</v>
      </c>
    </row>
    <row r="11" spans="2:41" ht="18.75" customHeight="1">
      <c r="B11" s="23"/>
      <c r="C11" s="20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166"/>
      <c r="AI11" s="166"/>
      <c r="AJ11" s="166"/>
      <c r="AK11" s="166"/>
      <c r="AL11" s="166"/>
      <c r="AM11" s="10"/>
      <c r="AN11" s="122"/>
      <c r="AO11" s="120"/>
    </row>
    <row r="12" spans="2:41" ht="18.75" customHeight="1">
      <c r="B12" s="4" t="s">
        <v>79</v>
      </c>
      <c r="C12" s="13"/>
      <c r="D12" s="8">
        <v>32874</v>
      </c>
      <c r="E12" s="8">
        <v>33239</v>
      </c>
      <c r="F12" s="8">
        <v>33604</v>
      </c>
      <c r="G12" s="8">
        <v>33970</v>
      </c>
      <c r="H12" s="8">
        <v>34335</v>
      </c>
      <c r="I12" s="8">
        <v>34700</v>
      </c>
      <c r="J12" s="8">
        <v>35065</v>
      </c>
      <c r="K12" s="8">
        <v>35431</v>
      </c>
      <c r="L12" s="8">
        <v>35796</v>
      </c>
      <c r="M12" s="8">
        <v>36161</v>
      </c>
      <c r="N12" s="8">
        <v>36526</v>
      </c>
      <c r="O12" s="8">
        <v>36892</v>
      </c>
      <c r="P12" s="8">
        <v>37257</v>
      </c>
      <c r="Q12" s="8">
        <v>37622</v>
      </c>
      <c r="R12" s="8">
        <v>37987</v>
      </c>
      <c r="S12" s="8">
        <v>38353</v>
      </c>
      <c r="T12" s="8">
        <v>38718</v>
      </c>
      <c r="U12" s="8">
        <v>39083</v>
      </c>
      <c r="V12" s="8">
        <v>39448</v>
      </c>
      <c r="W12" s="8">
        <v>39814</v>
      </c>
      <c r="X12" s="8">
        <v>40179</v>
      </c>
      <c r="Y12" s="8">
        <v>40544</v>
      </c>
      <c r="Z12" s="8">
        <v>40909</v>
      </c>
      <c r="AA12" s="8">
        <v>41275</v>
      </c>
      <c r="AB12" s="8">
        <v>41640</v>
      </c>
      <c r="AC12" s="8">
        <v>42005</v>
      </c>
      <c r="AD12" s="8">
        <v>42370</v>
      </c>
      <c r="AE12" s="8">
        <v>42736</v>
      </c>
      <c r="AF12" s="8">
        <v>43101</v>
      </c>
      <c r="AG12" s="8">
        <v>43466</v>
      </c>
      <c r="AH12" s="155">
        <v>43831</v>
      </c>
      <c r="AI12" s="155">
        <v>44197</v>
      </c>
      <c r="AJ12" s="155">
        <v>44562</v>
      </c>
      <c r="AK12" s="155">
        <v>44927</v>
      </c>
      <c r="AL12" s="155">
        <v>45292</v>
      </c>
      <c r="AN12" s="8" t="s">
        <v>86</v>
      </c>
      <c r="AO12" s="8" t="s">
        <v>87</v>
      </c>
    </row>
    <row r="13" spans="2:41" s="10" customFormat="1" ht="18.75" customHeight="1">
      <c r="B13" s="6" t="s">
        <v>8</v>
      </c>
      <c r="C13" s="22" t="s">
        <v>3</v>
      </c>
      <c r="D13" s="26">
        <f>THG!D9</f>
        <v>474772.20432062686</v>
      </c>
      <c r="E13" s="26">
        <f>THG!E9</f>
        <v>459944.85788760241</v>
      </c>
      <c r="F13" s="26">
        <f>THG!F9</f>
        <v>435675.00835662149</v>
      </c>
      <c r="G13" s="26">
        <f>THG!G9</f>
        <v>425924.88838227896</v>
      </c>
      <c r="H13" s="26">
        <f>THG!H9</f>
        <v>420014.32191734033</v>
      </c>
      <c r="I13" s="26">
        <f>THG!I9</f>
        <v>406935.9822515648</v>
      </c>
      <c r="J13" s="26">
        <f>THG!J9</f>
        <v>412872.03705447976</v>
      </c>
      <c r="K13" s="26">
        <f>THG!K9</f>
        <v>391009.00720995315</v>
      </c>
      <c r="L13" s="26">
        <f>THG!L9</f>
        <v>390959.46894831874</v>
      </c>
      <c r="M13" s="26">
        <f>THG!M9</f>
        <v>379987.86231606844</v>
      </c>
      <c r="N13" s="26">
        <f>THG!N9</f>
        <v>390843.67773868405</v>
      </c>
      <c r="O13" s="26">
        <f>THG!O9</f>
        <v>400841.31582847907</v>
      </c>
      <c r="P13" s="26">
        <f>THG!P9</f>
        <v>400956.39258131466</v>
      </c>
      <c r="Q13" s="26">
        <f>THG!Q9</f>
        <v>416998.50586833432</v>
      </c>
      <c r="R13" s="26">
        <f>THG!R9</f>
        <v>411600.83483799745</v>
      </c>
      <c r="S13" s="26">
        <f>THG!S9</f>
        <v>402600.94170216646</v>
      </c>
      <c r="T13" s="26">
        <f>THG!T9</f>
        <v>403126.92360359995</v>
      </c>
      <c r="U13" s="26">
        <f>THG!U9</f>
        <v>406034.90791386692</v>
      </c>
      <c r="V13" s="26">
        <f>THG!V9</f>
        <v>388012.31817760115</v>
      </c>
      <c r="W13" s="26">
        <f>THG!W9</f>
        <v>361913.9166962154</v>
      </c>
      <c r="X13" s="26">
        <f>THG!X9</f>
        <v>372637.07419132604</v>
      </c>
      <c r="Y13" s="26">
        <f>THG!Y9</f>
        <v>367709.702457737</v>
      </c>
      <c r="Z13" s="26">
        <f>THG!Z9</f>
        <v>379347.88118184305</v>
      </c>
      <c r="AA13" s="26">
        <f>THG!AA9</f>
        <v>383702.31874884473</v>
      </c>
      <c r="AB13" s="26">
        <f>THG!AB9</f>
        <v>362725.92828215502</v>
      </c>
      <c r="AC13" s="26">
        <f>THG!AC9</f>
        <v>351321.40085469338</v>
      </c>
      <c r="AD13" s="26">
        <f>THG!AD9</f>
        <v>346328.71761389903</v>
      </c>
      <c r="AE13" s="26">
        <f>THG!AE9</f>
        <v>326500.69104369043</v>
      </c>
      <c r="AF13" s="26">
        <f>THG!AF9</f>
        <v>310851.06646191981</v>
      </c>
      <c r="AG13" s="26">
        <f>THG!AG9</f>
        <v>258283.02963996082</v>
      </c>
      <c r="AH13" s="165">
        <f>THG!AH9</f>
        <v>219037.65428068594</v>
      </c>
      <c r="AI13" s="165">
        <f>THG!AI9</f>
        <v>246421.43045373799</v>
      </c>
      <c r="AJ13" s="165">
        <f>THG!AJ9</f>
        <v>256670.41825982218</v>
      </c>
      <c r="AK13" s="165">
        <f>THG!AK9</f>
        <v>202582.41705156237</v>
      </c>
      <c r="AL13" s="165">
        <f>THG!AL9</f>
        <v>184993.88634258282</v>
      </c>
      <c r="AN13" s="123">
        <f t="shared" ref="AN13:AN18" si="0">AL13-AK13</f>
        <v>-17588.530708979553</v>
      </c>
      <c r="AO13" s="121">
        <f t="shared" ref="AO13:AO18" si="1">IF(AL13&lt;&gt;0,AL13/AK13-1,0)</f>
        <v>-8.6821605571537952E-2</v>
      </c>
    </row>
    <row r="14" spans="2:41" s="10" customFormat="1" ht="18.75" customHeight="1">
      <c r="B14" s="5" t="s">
        <v>9</v>
      </c>
      <c r="C14" s="20" t="s">
        <v>3</v>
      </c>
      <c r="D14" s="27">
        <f>THG!D14</f>
        <v>277703.0828141236</v>
      </c>
      <c r="E14" s="27">
        <f>THG!E14</f>
        <v>252375.9643288675</v>
      </c>
      <c r="F14" s="27">
        <f>THG!F14</f>
        <v>241066.98950376714</v>
      </c>
      <c r="G14" s="27">
        <f>THG!G14</f>
        <v>231345.68923747653</v>
      </c>
      <c r="H14" s="27">
        <f>THG!H14</f>
        <v>234903.62143561189</v>
      </c>
      <c r="I14" s="27">
        <f>THG!I14</f>
        <v>236785.28481656502</v>
      </c>
      <c r="J14" s="27">
        <f>THG!J14</f>
        <v>225570.71931643365</v>
      </c>
      <c r="K14" s="27">
        <f>THG!K14</f>
        <v>230129.72744884351</v>
      </c>
      <c r="L14" s="27">
        <f>THG!L14</f>
        <v>213140.65542267766</v>
      </c>
      <c r="M14" s="27">
        <f>THG!M14</f>
        <v>203031.84220372024</v>
      </c>
      <c r="N14" s="27">
        <f>THG!N14</f>
        <v>202597.85035506665</v>
      </c>
      <c r="O14" s="27">
        <f>THG!O14</f>
        <v>191975.78133434261</v>
      </c>
      <c r="P14" s="27">
        <f>THG!P14</f>
        <v>189761.24792463228</v>
      </c>
      <c r="Q14" s="27">
        <f>THG!Q14</f>
        <v>189097.81904205933</v>
      </c>
      <c r="R14" s="27">
        <f>THG!R14</f>
        <v>189121.05735574217</v>
      </c>
      <c r="S14" s="27">
        <f>THG!S14</f>
        <v>186380.10528444086</v>
      </c>
      <c r="T14" s="27">
        <f>THG!T14</f>
        <v>190929.28168808113</v>
      </c>
      <c r="U14" s="27">
        <f>THG!U14</f>
        <v>199080.93744502912</v>
      </c>
      <c r="V14" s="27">
        <f>THG!V14</f>
        <v>195583.61002161674</v>
      </c>
      <c r="W14" s="27">
        <f>THG!W14</f>
        <v>169945.08762495421</v>
      </c>
      <c r="X14" s="27">
        <f>THG!X14</f>
        <v>184059.48457331423</v>
      </c>
      <c r="Y14" s="27">
        <f>THG!Y14</f>
        <v>182195.9499490874</v>
      </c>
      <c r="Z14" s="27">
        <f>THG!Z14</f>
        <v>177381.01732424117</v>
      </c>
      <c r="AA14" s="27">
        <f>THG!AA14</f>
        <v>177046.41104837396</v>
      </c>
      <c r="AB14" s="27">
        <f>THG!AB14</f>
        <v>176289.29367334745</v>
      </c>
      <c r="AC14" s="27">
        <f>THG!AC14</f>
        <v>183018.75305607606</v>
      </c>
      <c r="AD14" s="27">
        <f>THG!AD14</f>
        <v>186837.80660551463</v>
      </c>
      <c r="AE14" s="27">
        <f>THG!AE14</f>
        <v>192584.11720378124</v>
      </c>
      <c r="AF14" s="27">
        <f>THG!AF14</f>
        <v>184966.05950656452</v>
      </c>
      <c r="AG14" s="27">
        <f>THG!AG14</f>
        <v>179318.3250005127</v>
      </c>
      <c r="AH14" s="166">
        <f>THG!AH14</f>
        <v>172577.24762826721</v>
      </c>
      <c r="AI14" s="166">
        <f>THG!AI14</f>
        <v>180292.99681195212</v>
      </c>
      <c r="AJ14" s="166">
        <f>THG!AJ14</f>
        <v>164365.14919604169</v>
      </c>
      <c r="AK14" s="166">
        <f>THG!AK14</f>
        <v>152923.73867221884</v>
      </c>
      <c r="AL14" s="166">
        <f>THG!AL14</f>
        <v>153007.27310826123</v>
      </c>
      <c r="AN14" s="122">
        <f t="shared" si="0"/>
        <v>83.534436042391462</v>
      </c>
      <c r="AO14" s="120">
        <f t="shared" si="1"/>
        <v>5.4624897852795229E-4</v>
      </c>
    </row>
    <row r="15" spans="2:41" s="10" customFormat="1" ht="18.75" customHeight="1">
      <c r="B15" s="6" t="s">
        <v>10</v>
      </c>
      <c r="C15" s="22" t="s">
        <v>3</v>
      </c>
      <c r="D15" s="26">
        <f>THG!D21</f>
        <v>210027.31690962819</v>
      </c>
      <c r="E15" s="26">
        <f>THG!E21</f>
        <v>208432.29499818265</v>
      </c>
      <c r="F15" s="26">
        <f>THG!F21</f>
        <v>190277.47448718816</v>
      </c>
      <c r="G15" s="26">
        <f>THG!G21</f>
        <v>197006.33128836632</v>
      </c>
      <c r="H15" s="26">
        <f>THG!H21</f>
        <v>186224.97845574917</v>
      </c>
      <c r="I15" s="26">
        <f>THG!I21</f>
        <v>187711.41388219435</v>
      </c>
      <c r="J15" s="26">
        <f>THG!J21</f>
        <v>210884.96426407155</v>
      </c>
      <c r="K15" s="26">
        <f>THG!K21</f>
        <v>197654.54104077065</v>
      </c>
      <c r="L15" s="26">
        <f>THG!L21</f>
        <v>189510.95551230639</v>
      </c>
      <c r="M15" s="26">
        <f>THG!M21</f>
        <v>172831.56155428855</v>
      </c>
      <c r="N15" s="26">
        <f>THG!N21</f>
        <v>166789.55078696233</v>
      </c>
      <c r="O15" s="26">
        <f>THG!O21</f>
        <v>187079.52935138243</v>
      </c>
      <c r="P15" s="26">
        <f>THG!P21</f>
        <v>174080.90022703956</v>
      </c>
      <c r="Q15" s="26">
        <f>THG!Q21</f>
        <v>161403.5184242161</v>
      </c>
      <c r="R15" s="26">
        <f>THG!R21</f>
        <v>153223.95620302894</v>
      </c>
      <c r="S15" s="26">
        <f>THG!S21</f>
        <v>157330.87762895427</v>
      </c>
      <c r="T15" s="26">
        <f>THG!T21</f>
        <v>163748.24796319759</v>
      </c>
      <c r="U15" s="26">
        <f>THG!U21</f>
        <v>122057.23154044207</v>
      </c>
      <c r="V15" s="26">
        <f>THG!V21</f>
        <v>147251.69074958633</v>
      </c>
      <c r="W15" s="26">
        <f>THG!W21</f>
        <v>137174.29012983199</v>
      </c>
      <c r="X15" s="26">
        <f>THG!X21</f>
        <v>142933.41752797333</v>
      </c>
      <c r="Y15" s="26">
        <f>THG!Y21</f>
        <v>124657.41541667213</v>
      </c>
      <c r="Z15" s="26">
        <f>THG!Z21</f>
        <v>130369.04622321548</v>
      </c>
      <c r="AA15" s="26">
        <f>THG!AA21</f>
        <v>139109.51038067078</v>
      </c>
      <c r="AB15" s="26">
        <f>THG!AB21</f>
        <v>120288.92829877765</v>
      </c>
      <c r="AC15" s="26">
        <f>THG!AC21</f>
        <v>126239.30646152454</v>
      </c>
      <c r="AD15" s="26">
        <f>THG!AD21</f>
        <v>121504.68550106342</v>
      </c>
      <c r="AE15" s="26">
        <f>THG!AE21</f>
        <v>121129.96153484768</v>
      </c>
      <c r="AF15" s="26">
        <f>THG!AF21</f>
        <v>116109.50283078862</v>
      </c>
      <c r="AG15" s="26">
        <f>THG!AG21</f>
        <v>122296.12617789851</v>
      </c>
      <c r="AH15" s="165">
        <f>THG!AH21</f>
        <v>122497.11358722101</v>
      </c>
      <c r="AI15" s="165">
        <f>THG!AI21</f>
        <v>119286.78221917644</v>
      </c>
      <c r="AJ15" s="165">
        <f>THG!AJ21</f>
        <v>110514.63428514957</v>
      </c>
      <c r="AK15" s="165">
        <f>THG!AK21</f>
        <v>102933.00019870455</v>
      </c>
      <c r="AL15" s="165">
        <f>THG!AL21</f>
        <v>100536.2340247776</v>
      </c>
      <c r="AN15" s="123">
        <f t="shared" si="0"/>
        <v>-2396.7661739269533</v>
      </c>
      <c r="AO15" s="121">
        <f t="shared" si="1"/>
        <v>-2.3284720831027728E-2</v>
      </c>
    </row>
    <row r="16" spans="2:41" s="10" customFormat="1" ht="18.75" customHeight="1">
      <c r="B16" s="5" t="s">
        <v>14</v>
      </c>
      <c r="C16" s="20" t="s">
        <v>3</v>
      </c>
      <c r="D16" s="27">
        <f>THG!D26</f>
        <v>163355.36656567437</v>
      </c>
      <c r="E16" s="27">
        <f>THG!E26</f>
        <v>166303.23541426711</v>
      </c>
      <c r="F16" s="27">
        <f>THG!F26</f>
        <v>172167.93098221859</v>
      </c>
      <c r="G16" s="27">
        <f>THG!G26</f>
        <v>176492.86153080547</v>
      </c>
      <c r="H16" s="27">
        <f>THG!H26</f>
        <v>172463.21803963472</v>
      </c>
      <c r="I16" s="27">
        <f>THG!I26</f>
        <v>176122.47581564035</v>
      </c>
      <c r="J16" s="27">
        <f>THG!J26</f>
        <v>175706.37719000189</v>
      </c>
      <c r="K16" s="27">
        <f>THG!K26</f>
        <v>176120.93224476895</v>
      </c>
      <c r="L16" s="27">
        <f>THG!L26</f>
        <v>179396.53155795173</v>
      </c>
      <c r="M16" s="27">
        <f>THG!M26</f>
        <v>184529.66147660156</v>
      </c>
      <c r="N16" s="27">
        <f>THG!N26</f>
        <v>180586.38104834093</v>
      </c>
      <c r="O16" s="27">
        <f>THG!O26</f>
        <v>176693.76623778118</v>
      </c>
      <c r="P16" s="27">
        <f>THG!P26</f>
        <v>174183.31655542899</v>
      </c>
      <c r="Q16" s="27">
        <f>THG!Q26</f>
        <v>165215.87860522547</v>
      </c>
      <c r="R16" s="27">
        <f>THG!R26</f>
        <v>159629.34165772001</v>
      </c>
      <c r="S16" s="27">
        <f>THG!S26</f>
        <v>155559.23573389376</v>
      </c>
      <c r="T16" s="27">
        <f>THG!T26</f>
        <v>160277.51039308769</v>
      </c>
      <c r="U16" s="27">
        <f>THG!U26</f>
        <v>152438.39757481345</v>
      </c>
      <c r="V16" s="27">
        <f>THG!V26</f>
        <v>157362.10474090397</v>
      </c>
      <c r="W16" s="27">
        <f>THG!W26</f>
        <v>151980.56305632266</v>
      </c>
      <c r="X16" s="27">
        <f>THG!X26</f>
        <v>150448.16555507819</v>
      </c>
      <c r="Y16" s="27">
        <f>THG!Y26</f>
        <v>152304.92939454014</v>
      </c>
      <c r="Z16" s="27">
        <f>THG!Z26</f>
        <v>150641.4789837765</v>
      </c>
      <c r="AA16" s="27">
        <f>THG!AA26</f>
        <v>154682.03767280487</v>
      </c>
      <c r="AB16" s="27">
        <f>THG!AB26</f>
        <v>153852.80678059557</v>
      </c>
      <c r="AC16" s="27">
        <f>THG!AC26</f>
        <v>161681.12466493333</v>
      </c>
      <c r="AD16" s="27">
        <f>THG!AD26</f>
        <v>163803.82202437118</v>
      </c>
      <c r="AE16" s="27">
        <f>THG!AE26</f>
        <v>165176.42155141421</v>
      </c>
      <c r="AF16" s="27">
        <f>THG!AF26</f>
        <v>165380.61576785371</v>
      </c>
      <c r="AG16" s="27">
        <f>THG!AG26</f>
        <v>164323.970069954</v>
      </c>
      <c r="AH16" s="166">
        <f>THG!AH26</f>
        <v>146385.7426834981</v>
      </c>
      <c r="AI16" s="166">
        <f>THG!AI26</f>
        <v>144599.0299664432</v>
      </c>
      <c r="AJ16" s="166">
        <f>THG!AJ26</f>
        <v>147690.87538349463</v>
      </c>
      <c r="AK16" s="166">
        <f>THG!AK26</f>
        <v>145131.15862852722</v>
      </c>
      <c r="AL16" s="166">
        <f>THG!AL26</f>
        <v>143054.7682481537</v>
      </c>
      <c r="AN16" s="122">
        <f t="shared" si="0"/>
        <v>-2076.3903803735157</v>
      </c>
      <c r="AO16" s="120">
        <f t="shared" si="1"/>
        <v>-1.4306992378447014E-2</v>
      </c>
    </row>
    <row r="17" spans="2:41" s="10" customFormat="1" ht="18.75" customHeight="1">
      <c r="B17" s="6" t="s">
        <v>15</v>
      </c>
      <c r="C17" s="22" t="s">
        <v>3</v>
      </c>
      <c r="D17" s="26">
        <f>THG!D32</f>
        <v>84989.15915719539</v>
      </c>
      <c r="E17" s="26">
        <f>THG!E32</f>
        <v>76414.722910866025</v>
      </c>
      <c r="F17" s="26">
        <f>THG!F32</f>
        <v>74196.456761875001</v>
      </c>
      <c r="G17" s="26">
        <f>THG!G32</f>
        <v>73737.009260326158</v>
      </c>
      <c r="H17" s="26">
        <f>THG!H32</f>
        <v>73708.352552295226</v>
      </c>
      <c r="I17" s="26">
        <f>THG!I32</f>
        <v>74070.770312600871</v>
      </c>
      <c r="J17" s="26">
        <f>THG!J32</f>
        <v>75722.874919217706</v>
      </c>
      <c r="K17" s="26">
        <f>THG!K32</f>
        <v>73354.393818033932</v>
      </c>
      <c r="L17" s="26">
        <f>THG!L32</f>
        <v>72729.918002482591</v>
      </c>
      <c r="M17" s="26">
        <f>THG!M32</f>
        <v>73343.904073951344</v>
      </c>
      <c r="N17" s="26">
        <f>THG!N32</f>
        <v>71957.098586081309</v>
      </c>
      <c r="O17" s="26">
        <f>THG!O32</f>
        <v>72672.20810007074</v>
      </c>
      <c r="P17" s="26">
        <f>THG!P32</f>
        <v>70326.87522255833</v>
      </c>
      <c r="Q17" s="26">
        <f>THG!Q32</f>
        <v>69935.715178059589</v>
      </c>
      <c r="R17" s="26">
        <f>THG!R32</f>
        <v>68241.325940250012</v>
      </c>
      <c r="S17" s="26">
        <f>THG!S32</f>
        <v>68042.400412697782</v>
      </c>
      <c r="T17" s="26">
        <f>THG!T32</f>
        <v>67427.155463717369</v>
      </c>
      <c r="U17" s="26">
        <f>THG!U32</f>
        <v>67137.703039660439</v>
      </c>
      <c r="V17" s="26">
        <f>THG!V32</f>
        <v>67986.800413934572</v>
      </c>
      <c r="W17" s="26">
        <f>THG!W32</f>
        <v>67802.20895914665</v>
      </c>
      <c r="X17" s="26">
        <f>THG!X32</f>
        <v>67979.732572680106</v>
      </c>
      <c r="Y17" s="26">
        <f>THG!Y32</f>
        <v>68557.85111347257</v>
      </c>
      <c r="Z17" s="26">
        <f>THG!Z32</f>
        <v>68774.308158249798</v>
      </c>
      <c r="AA17" s="26">
        <f>THG!AA32</f>
        <v>69757.923386340757</v>
      </c>
      <c r="AB17" s="26">
        <f>THG!AB32</f>
        <v>71330.205942200613</v>
      </c>
      <c r="AC17" s="26">
        <f>THG!AC32</f>
        <v>71121.936723247854</v>
      </c>
      <c r="AD17" s="26">
        <f>THG!AD32</f>
        <v>70907.819051021434</v>
      </c>
      <c r="AE17" s="26">
        <f>THG!AE32</f>
        <v>69315.035291692286</v>
      </c>
      <c r="AF17" s="26">
        <f>THG!AF32</f>
        <v>68419.82206431136</v>
      </c>
      <c r="AG17" s="26">
        <f>THG!AG32</f>
        <v>67220.276792805205</v>
      </c>
      <c r="AH17" s="165">
        <f>THG!AH32</f>
        <v>66374.140111942717</v>
      </c>
      <c r="AI17" s="165">
        <f>THG!AI32</f>
        <v>64911.07948409106</v>
      </c>
      <c r="AJ17" s="165">
        <f>THG!AJ32</f>
        <v>63902.022380878967</v>
      </c>
      <c r="AK17" s="165">
        <f>THG!AK32</f>
        <v>62959.986688698205</v>
      </c>
      <c r="AL17" s="165">
        <f>THG!AL32</f>
        <v>62110.993623271766</v>
      </c>
      <c r="AN17" s="123">
        <f t="shared" si="0"/>
        <v>-848.99306542643899</v>
      </c>
      <c r="AO17" s="121">
        <f t="shared" si="1"/>
        <v>-1.348464493209367E-2</v>
      </c>
    </row>
    <row r="18" spans="2:41" s="10" customFormat="1" ht="18.75" customHeight="1">
      <c r="B18" s="5" t="s">
        <v>16</v>
      </c>
      <c r="C18" s="20" t="s">
        <v>3</v>
      </c>
      <c r="D18" s="27">
        <f>THG!D42</f>
        <v>41550.208209684955</v>
      </c>
      <c r="E18" s="27">
        <f>THG!E42</f>
        <v>43096.386910464244</v>
      </c>
      <c r="F18" s="27">
        <f>THG!F42</f>
        <v>43690.552789579269</v>
      </c>
      <c r="G18" s="27">
        <f>THG!G42</f>
        <v>43410.594571395734</v>
      </c>
      <c r="H18" s="27">
        <f>THG!H42</f>
        <v>42331.817932506026</v>
      </c>
      <c r="I18" s="27">
        <f>THG!I42</f>
        <v>41064.653718503017</v>
      </c>
      <c r="J18" s="27">
        <f>THG!J42</f>
        <v>39269.523659810075</v>
      </c>
      <c r="K18" s="27">
        <f>THG!K42</f>
        <v>35964.229901993094</v>
      </c>
      <c r="L18" s="27">
        <f>THG!L42</f>
        <v>33433.339536685176</v>
      </c>
      <c r="M18" s="27">
        <f>THG!M42</f>
        <v>31447.017076910739</v>
      </c>
      <c r="N18" s="27">
        <f>THG!N42</f>
        <v>29572.460032452174</v>
      </c>
      <c r="O18" s="27">
        <f>THG!O42</f>
        <v>27568.820348292542</v>
      </c>
      <c r="P18" s="27">
        <f>THG!P42</f>
        <v>25848.040379858077</v>
      </c>
      <c r="Q18" s="27">
        <f>THG!Q42</f>
        <v>24062.269037338847</v>
      </c>
      <c r="R18" s="27">
        <f>THG!R42</f>
        <v>21489.217535313594</v>
      </c>
      <c r="S18" s="27">
        <f>THG!S42</f>
        <v>19830.658338951438</v>
      </c>
      <c r="T18" s="27">
        <f>THG!T42</f>
        <v>17758.310821011335</v>
      </c>
      <c r="U18" s="27">
        <f>THG!U42</f>
        <v>16236.759090921445</v>
      </c>
      <c r="V18" s="27">
        <f>THG!V42</f>
        <v>14839.270182314303</v>
      </c>
      <c r="W18" s="27">
        <f>THG!W42</f>
        <v>13445.488095760964</v>
      </c>
      <c r="X18" s="27">
        <f>THG!X42</f>
        <v>12191.951804297189</v>
      </c>
      <c r="Y18" s="27">
        <f>THG!Y42</f>
        <v>11309.311816960442</v>
      </c>
      <c r="Z18" s="27">
        <f>THG!Z42</f>
        <v>10483.4533416133</v>
      </c>
      <c r="AA18" s="27">
        <f>THG!AA42</f>
        <v>9687.7307795737379</v>
      </c>
      <c r="AB18" s="27">
        <f>THG!AB42</f>
        <v>9062.3234858579435</v>
      </c>
      <c r="AC18" s="27">
        <f>THG!AC42</f>
        <v>8443.4764283906225</v>
      </c>
      <c r="AD18" s="27">
        <f>THG!AD42</f>
        <v>7904.3758078803712</v>
      </c>
      <c r="AE18" s="27">
        <f>THG!AE42</f>
        <v>7525.8270473636476</v>
      </c>
      <c r="AF18" s="27">
        <f>THG!AF42</f>
        <v>7131.2752606781605</v>
      </c>
      <c r="AG18" s="27">
        <f>THG!AG42</f>
        <v>6606.3236655840219</v>
      </c>
      <c r="AH18" s="166">
        <f>THG!AH42</f>
        <v>6121.4434396600082</v>
      </c>
      <c r="AI18" s="166">
        <f>THG!AI42</f>
        <v>5915.4360453990103</v>
      </c>
      <c r="AJ18" s="166">
        <f>THG!AJ42</f>
        <v>5649.6139083900425</v>
      </c>
      <c r="AK18" s="166">
        <f>THG!AK42</f>
        <v>5490.0232878830184</v>
      </c>
      <c r="AL18" s="166">
        <f>THG!AL42</f>
        <v>5355.5039453987274</v>
      </c>
      <c r="AN18" s="122">
        <f t="shared" si="0"/>
        <v>-134.51934248429097</v>
      </c>
      <c r="AO18" s="120">
        <f t="shared" si="1"/>
        <v>-2.4502508537839418E-2</v>
      </c>
    </row>
    <row r="19" spans="2:41" ht="14.25" customHeight="1">
      <c r="B19" s="7"/>
      <c r="C19" s="16"/>
      <c r="AH19" s="150"/>
      <c r="AI19" s="150"/>
    </row>
    <row r="20" spans="2:41" ht="18.75" customHeight="1">
      <c r="B20" s="1"/>
      <c r="C20" s="11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</row>
    <row r="21" spans="2:41" ht="65.25" customHeight="1">
      <c r="B21" s="124" t="s">
        <v>114</v>
      </c>
      <c r="C21" s="12"/>
      <c r="D21" s="24"/>
      <c r="E21" s="2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187"/>
      <c r="AK21" s="187"/>
      <c r="AL21" s="187"/>
    </row>
    <row r="22" spans="2:41">
      <c r="B22" s="4" t="s">
        <v>79</v>
      </c>
      <c r="C22" s="13"/>
      <c r="D22" s="8">
        <v>32874</v>
      </c>
      <c r="E22" s="8">
        <v>33239</v>
      </c>
      <c r="F22" s="8">
        <v>33604</v>
      </c>
      <c r="G22" s="8">
        <v>33970</v>
      </c>
      <c r="H22" s="8">
        <v>34335</v>
      </c>
      <c r="I22" s="8">
        <v>34700</v>
      </c>
      <c r="J22" s="8">
        <v>35065</v>
      </c>
      <c r="K22" s="8">
        <v>35431</v>
      </c>
      <c r="L22" s="8">
        <v>35796</v>
      </c>
      <c r="M22" s="8">
        <v>36161</v>
      </c>
      <c r="N22" s="8">
        <v>36526</v>
      </c>
      <c r="O22" s="8">
        <v>36892</v>
      </c>
      <c r="P22" s="8">
        <v>37257</v>
      </c>
      <c r="Q22" s="8">
        <v>37622</v>
      </c>
      <c r="R22" s="8">
        <v>37987</v>
      </c>
      <c r="S22" s="8">
        <v>38353</v>
      </c>
      <c r="T22" s="8">
        <v>38718</v>
      </c>
      <c r="U22" s="8">
        <v>39083</v>
      </c>
      <c r="V22" s="8">
        <v>39448</v>
      </c>
      <c r="W22" s="8">
        <v>39814</v>
      </c>
      <c r="X22" s="8">
        <v>40179</v>
      </c>
      <c r="Y22" s="8">
        <v>40544</v>
      </c>
      <c r="Z22" s="8">
        <v>40909</v>
      </c>
      <c r="AA22" s="8">
        <v>41275</v>
      </c>
      <c r="AB22" s="8">
        <v>41640</v>
      </c>
      <c r="AC22" s="8">
        <v>42005</v>
      </c>
      <c r="AD22" s="8">
        <v>42370</v>
      </c>
      <c r="AE22" s="8">
        <v>42736</v>
      </c>
      <c r="AF22" s="8">
        <v>43101</v>
      </c>
      <c r="AG22" s="8">
        <v>43466</v>
      </c>
      <c r="AH22" s="8">
        <v>43831</v>
      </c>
      <c r="AI22" s="155">
        <v>44197</v>
      </c>
      <c r="AJ22" s="155">
        <v>44562</v>
      </c>
      <c r="AK22" s="155">
        <v>44927</v>
      </c>
      <c r="AL22" s="155">
        <v>45292</v>
      </c>
    </row>
    <row r="23" spans="2:41">
      <c r="B23" s="6" t="s">
        <v>8</v>
      </c>
      <c r="C23" s="22" t="s">
        <v>3</v>
      </c>
      <c r="D23" s="141">
        <f>THG!D9</f>
        <v>474772.20432062686</v>
      </c>
      <c r="E23" s="141">
        <f>THG!E9</f>
        <v>459944.85788760241</v>
      </c>
      <c r="F23" s="141">
        <f>THG!F9</f>
        <v>435675.00835662149</v>
      </c>
      <c r="G23" s="141">
        <f>THG!G9</f>
        <v>425924.88838227896</v>
      </c>
      <c r="H23" s="141">
        <f>THG!H9</f>
        <v>420014.32191734033</v>
      </c>
      <c r="I23" s="141">
        <f>THG!I9</f>
        <v>406935.9822515648</v>
      </c>
      <c r="J23" s="141">
        <f>THG!J9</f>
        <v>412872.03705447976</v>
      </c>
      <c r="K23" s="141">
        <f>THG!K9</f>
        <v>391009.00720995315</v>
      </c>
      <c r="L23" s="141">
        <f>THG!L9</f>
        <v>390959.46894831874</v>
      </c>
      <c r="M23" s="141">
        <f>THG!M9</f>
        <v>379987.86231606844</v>
      </c>
      <c r="N23" s="141">
        <f>THG!N9</f>
        <v>390843.67773868405</v>
      </c>
      <c r="O23" s="141">
        <f>THG!O9</f>
        <v>400841.31582847907</v>
      </c>
      <c r="P23" s="141">
        <f>THG!P9</f>
        <v>400956.39258131466</v>
      </c>
      <c r="Q23" s="141">
        <f>THG!Q9</f>
        <v>416998.50586833432</v>
      </c>
      <c r="R23" s="141">
        <f>THG!R9</f>
        <v>411600.83483799745</v>
      </c>
      <c r="S23" s="141">
        <f>THG!S9</f>
        <v>402600.94170216646</v>
      </c>
      <c r="T23" s="141">
        <f>THG!T9</f>
        <v>403126.92360359995</v>
      </c>
      <c r="U23" s="141">
        <f>THG!U9</f>
        <v>406034.90791386692</v>
      </c>
      <c r="V23" s="141">
        <f>THG!V9</f>
        <v>388012.31817760115</v>
      </c>
      <c r="W23" s="141">
        <f>THG!W9</f>
        <v>361913.9166962154</v>
      </c>
      <c r="X23" s="141">
        <f>THG!X9</f>
        <v>372637.07419132604</v>
      </c>
      <c r="Y23" s="141">
        <f>THG!Y9</f>
        <v>367709.702457737</v>
      </c>
      <c r="Z23" s="141">
        <f>THG!Z9</f>
        <v>379347.88118184305</v>
      </c>
      <c r="AA23" s="141">
        <f>THG!AA9</f>
        <v>383702.31874884473</v>
      </c>
      <c r="AB23" s="141">
        <f>THG!AB9</f>
        <v>362725.92828215502</v>
      </c>
      <c r="AC23" s="141">
        <f>THG!AC9</f>
        <v>351321.40085469338</v>
      </c>
      <c r="AD23" s="141">
        <f>THG!AD9</f>
        <v>346328.71761389903</v>
      </c>
      <c r="AE23" s="141">
        <f>THG!AE9</f>
        <v>326500.69104369043</v>
      </c>
      <c r="AF23" s="141">
        <f>THG!AF9</f>
        <v>310851.06646191981</v>
      </c>
      <c r="AG23" s="141">
        <f>THG!AG9</f>
        <v>258283.02963996082</v>
      </c>
      <c r="AH23" s="165">
        <f>THG!AH9</f>
        <v>219037.65428068594</v>
      </c>
      <c r="AI23" s="165">
        <f>THG!AI9</f>
        <v>246421.43045373799</v>
      </c>
      <c r="AJ23" s="165">
        <f>THG!AJ9</f>
        <v>256670.41825982218</v>
      </c>
      <c r="AK23" s="165">
        <f>THG!AK9</f>
        <v>202582.41705156237</v>
      </c>
      <c r="AL23" s="165">
        <f>THG!AL9</f>
        <v>184993.88634258282</v>
      </c>
      <c r="AM23" s="10"/>
      <c r="AN23" s="10"/>
    </row>
    <row r="24" spans="2:41">
      <c r="B24" s="19" t="s">
        <v>97</v>
      </c>
      <c r="C24" s="1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68">
        <f>SUM(AA25:AA27)</f>
        <v>329460.63848099997</v>
      </c>
      <c r="AB24" s="168">
        <f t="shared" ref="AB24:AH24" si="2">SUM(AB25:AB27)</f>
        <v>308796.9179</v>
      </c>
      <c r="AC24" s="168">
        <f t="shared" si="2"/>
        <v>303306.591931</v>
      </c>
      <c r="AD24" s="168">
        <f t="shared" si="2"/>
        <v>300528.59501600004</v>
      </c>
      <c r="AE24" s="168">
        <f t="shared" si="2"/>
        <v>282703.874817</v>
      </c>
      <c r="AF24" s="168">
        <f t="shared" si="2"/>
        <v>269916.08345999994</v>
      </c>
      <c r="AG24" s="168">
        <f t="shared" si="2"/>
        <v>216589.87099999998</v>
      </c>
      <c r="AH24" s="168">
        <f t="shared" si="2"/>
        <v>182627.32513999997</v>
      </c>
      <c r="AI24" s="168">
        <f>SUM(AI25:AI27)</f>
        <v>208887.07324900001</v>
      </c>
      <c r="AJ24" s="168">
        <f>SUM(AJ25:AJ27)</f>
        <v>221119.81700000001</v>
      </c>
      <c r="AK24" s="168">
        <f>SUM(AK25:AK27)</f>
        <v>168749.56310026415</v>
      </c>
      <c r="AL24" s="168">
        <f>SUM(AL25:AL27)</f>
        <v>0</v>
      </c>
    </row>
    <row r="25" spans="2:41" s="150" customFormat="1" outlineLevel="1">
      <c r="B25" s="19" t="s">
        <v>106</v>
      </c>
      <c r="C25" s="159"/>
      <c r="D25" s="168"/>
      <c r="E25" s="168" t="s">
        <v>146</v>
      </c>
      <c r="F25" s="168" t="s">
        <v>147</v>
      </c>
      <c r="G25" s="168" t="s">
        <v>148</v>
      </c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>
        <v>325977.82797099999</v>
      </c>
      <c r="AB25" s="168">
        <v>305660.31480400002</v>
      </c>
      <c r="AC25" s="168">
        <v>300220.06173700001</v>
      </c>
      <c r="AD25" s="168">
        <v>297828.32599300001</v>
      </c>
      <c r="AE25" s="168">
        <v>279910.52313400002</v>
      </c>
      <c r="AF25" s="168">
        <v>266974.82586099993</v>
      </c>
      <c r="AG25" s="168">
        <v>213738.21699999998</v>
      </c>
      <c r="AH25" s="168">
        <v>181619.81287799997</v>
      </c>
      <c r="AI25" s="168">
        <v>207765.493025</v>
      </c>
      <c r="AJ25" s="168">
        <v>219430.28200000001</v>
      </c>
      <c r="AK25" s="168">
        <v>167498.1187455086</v>
      </c>
      <c r="AL25" s="168">
        <v>0</v>
      </c>
    </row>
    <row r="26" spans="2:41" s="150" customFormat="1" outlineLevel="1">
      <c r="B26" s="19" t="s">
        <v>107</v>
      </c>
      <c r="C26" s="159"/>
      <c r="D26" s="168"/>
      <c r="E26" s="168" t="s">
        <v>146</v>
      </c>
      <c r="F26" s="168" t="s">
        <v>147</v>
      </c>
      <c r="G26" s="168" t="s">
        <v>149</v>
      </c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>
        <v>3165.9235099999992</v>
      </c>
      <c r="AB26" s="168">
        <v>2849.981096</v>
      </c>
      <c r="AC26" s="168">
        <v>2792.796194</v>
      </c>
      <c r="AD26" s="168">
        <v>2462.906023</v>
      </c>
      <c r="AE26" s="168">
        <v>2595.501683</v>
      </c>
      <c r="AF26" s="168">
        <v>2503.6565989999999</v>
      </c>
      <c r="AG26" s="168">
        <v>2406.35</v>
      </c>
      <c r="AH26" s="168">
        <v>769.25314200000014</v>
      </c>
      <c r="AI26" s="168">
        <v>808.95683399999996</v>
      </c>
      <c r="AJ26" s="168">
        <v>1240.702</v>
      </c>
      <c r="AK26" s="168">
        <v>889.34673493613502</v>
      </c>
      <c r="AL26" s="168">
        <v>0</v>
      </c>
    </row>
    <row r="27" spans="2:41" s="150" customFormat="1" outlineLevel="1">
      <c r="B27" s="19" t="s">
        <v>108</v>
      </c>
      <c r="C27" s="159"/>
      <c r="D27" s="168"/>
      <c r="E27" s="168" t="s">
        <v>146</v>
      </c>
      <c r="F27" s="168" t="s">
        <v>147</v>
      </c>
      <c r="G27" s="168" t="s">
        <v>150</v>
      </c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>
        <v>316.887</v>
      </c>
      <c r="AB27" s="168">
        <v>286.62200000000001</v>
      </c>
      <c r="AC27" s="168">
        <v>293.73399999999998</v>
      </c>
      <c r="AD27" s="168">
        <v>237.363</v>
      </c>
      <c r="AE27" s="168">
        <v>197.85</v>
      </c>
      <c r="AF27" s="168">
        <v>437.601</v>
      </c>
      <c r="AG27" s="168">
        <v>445.30399999999997</v>
      </c>
      <c r="AH27" s="168">
        <v>238.25912</v>
      </c>
      <c r="AI27" s="168">
        <v>312.62338999999997</v>
      </c>
      <c r="AJ27" s="168">
        <v>448.83300000000003</v>
      </c>
      <c r="AK27" s="168">
        <v>362.09761981940102</v>
      </c>
      <c r="AL27" s="168">
        <v>0</v>
      </c>
    </row>
    <row r="28" spans="2:41">
      <c r="B28" s="90" t="s">
        <v>98</v>
      </c>
      <c r="C28" s="89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>
        <f t="shared" ref="AA28" si="3">AA23-AA24</f>
        <v>54241.680267844757</v>
      </c>
      <c r="AB28" s="167">
        <f t="shared" ref="AB28:AG28" si="4">AB23-AB24</f>
        <v>53929.010382155015</v>
      </c>
      <c r="AC28" s="167">
        <f t="shared" si="4"/>
        <v>48014.808923693374</v>
      </c>
      <c r="AD28" s="167">
        <f t="shared" si="4"/>
        <v>45800.122597898997</v>
      </c>
      <c r="AE28" s="167">
        <f t="shared" si="4"/>
        <v>43796.816226690426</v>
      </c>
      <c r="AF28" s="167">
        <f t="shared" si="4"/>
        <v>40934.983001919871</v>
      </c>
      <c r="AG28" s="167">
        <f t="shared" si="4"/>
        <v>41693.158639960835</v>
      </c>
      <c r="AH28" s="167">
        <f>AH23-AH24</f>
        <v>36410.329140685964</v>
      </c>
      <c r="AI28" s="167">
        <f>AI23-AI24</f>
        <v>37534.357204737986</v>
      </c>
      <c r="AJ28" s="167">
        <f>AJ23-AJ24</f>
        <v>35550.601259822171</v>
      </c>
      <c r="AK28" s="167">
        <f>AK23-AK24</f>
        <v>33832.853951298224</v>
      </c>
      <c r="AL28" s="167">
        <f>AL23-AL24</f>
        <v>184993.88634258282</v>
      </c>
    </row>
    <row r="29" spans="2:41">
      <c r="B29" s="145" t="s">
        <v>99</v>
      </c>
      <c r="C29" s="147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8">
        <f t="shared" ref="AA29" si="5">AA24/AA23</f>
        <v>0.85863603731999061</v>
      </c>
      <c r="AB29" s="148">
        <f t="shared" ref="AB29:AH29" si="6">AB24/AB23</f>
        <v>0.85132297920482525</v>
      </c>
      <c r="AC29" s="148">
        <f t="shared" si="6"/>
        <v>0.86333081671972411</v>
      </c>
      <c r="AD29" s="148">
        <f t="shared" si="6"/>
        <v>0.86775534263098908</v>
      </c>
      <c r="AE29" s="148">
        <f t="shared" si="6"/>
        <v>0.86585995856030273</v>
      </c>
      <c r="AF29" s="148">
        <f t="shared" si="6"/>
        <v>0.86831319748123004</v>
      </c>
      <c r="AG29" s="148">
        <f t="shared" si="6"/>
        <v>0.83857569466302173</v>
      </c>
      <c r="AH29" s="148">
        <f t="shared" si="6"/>
        <v>0.83377137022282055</v>
      </c>
      <c r="AI29" s="148">
        <f t="shared" ref="AI29:AJ29" si="7">AI24/AI23</f>
        <v>0.84768225257184149</v>
      </c>
      <c r="AJ29" s="148">
        <f t="shared" si="7"/>
        <v>0.86149318842097722</v>
      </c>
      <c r="AK29" s="148">
        <f t="shared" ref="AK29:AL29" si="8">AK24/AK23</f>
        <v>0.83299214984345404</v>
      </c>
      <c r="AL29" s="148">
        <f t="shared" si="8"/>
        <v>0</v>
      </c>
      <c r="AM29" s="30"/>
      <c r="AN29" s="30"/>
    </row>
    <row r="30" spans="2:41">
      <c r="B30" s="6" t="s">
        <v>9</v>
      </c>
      <c r="C30" s="22" t="s">
        <v>3</v>
      </c>
      <c r="D30" s="141">
        <f>THG!D14</f>
        <v>277703.0828141236</v>
      </c>
      <c r="E30" s="141">
        <f>THG!E14</f>
        <v>252375.9643288675</v>
      </c>
      <c r="F30" s="141">
        <f>THG!F14</f>
        <v>241066.98950376714</v>
      </c>
      <c r="G30" s="141">
        <f>THG!G14</f>
        <v>231345.68923747653</v>
      </c>
      <c r="H30" s="141">
        <f>THG!H14</f>
        <v>234903.62143561189</v>
      </c>
      <c r="I30" s="141">
        <f>THG!I14</f>
        <v>236785.28481656502</v>
      </c>
      <c r="J30" s="141">
        <f>THG!J14</f>
        <v>225570.71931643365</v>
      </c>
      <c r="K30" s="141">
        <f>THG!K14</f>
        <v>230129.72744884351</v>
      </c>
      <c r="L30" s="141">
        <f>THG!L14</f>
        <v>213140.65542267766</v>
      </c>
      <c r="M30" s="141">
        <f>THG!M14</f>
        <v>203031.84220372024</v>
      </c>
      <c r="N30" s="141">
        <f>THG!N14</f>
        <v>202597.85035506665</v>
      </c>
      <c r="O30" s="141">
        <f>THG!O14</f>
        <v>191975.78133434261</v>
      </c>
      <c r="P30" s="141">
        <f>THG!P14</f>
        <v>189761.24792463228</v>
      </c>
      <c r="Q30" s="141">
        <f>THG!Q14</f>
        <v>189097.81904205933</v>
      </c>
      <c r="R30" s="141">
        <f>THG!R14</f>
        <v>189121.05735574217</v>
      </c>
      <c r="S30" s="141">
        <f>THG!S14</f>
        <v>186380.10528444086</v>
      </c>
      <c r="T30" s="141">
        <f>THG!T14</f>
        <v>190929.28168808113</v>
      </c>
      <c r="U30" s="141">
        <f>THG!U14</f>
        <v>199080.93744502912</v>
      </c>
      <c r="V30" s="141">
        <f>THG!V14</f>
        <v>195583.61002161674</v>
      </c>
      <c r="W30" s="141">
        <f>THG!W14</f>
        <v>169945.08762495421</v>
      </c>
      <c r="X30" s="141">
        <f>THG!X14</f>
        <v>184059.48457331423</v>
      </c>
      <c r="Y30" s="141">
        <f>THG!Y14</f>
        <v>182195.9499490874</v>
      </c>
      <c r="Z30" s="141">
        <f>THG!Z14</f>
        <v>177381.01732424117</v>
      </c>
      <c r="AA30" s="141">
        <f>THG!AA14</f>
        <v>177046.41104837396</v>
      </c>
      <c r="AB30" s="165">
        <f>THG!AB14</f>
        <v>176289.29367334745</v>
      </c>
      <c r="AC30" s="165">
        <f>THG!AC14</f>
        <v>183018.75305607606</v>
      </c>
      <c r="AD30" s="165">
        <f>THG!AD14</f>
        <v>186837.80660551463</v>
      </c>
      <c r="AE30" s="165">
        <f>THG!AE14</f>
        <v>192584.11720378124</v>
      </c>
      <c r="AF30" s="165">
        <f>THG!AF14</f>
        <v>184966.05950656452</v>
      </c>
      <c r="AG30" s="165">
        <f>THG!AG14</f>
        <v>179318.3250005127</v>
      </c>
      <c r="AH30" s="165">
        <f>THG!AH14</f>
        <v>172577.24762826721</v>
      </c>
      <c r="AI30" s="165">
        <f>THG!AI14</f>
        <v>180292.99681195212</v>
      </c>
      <c r="AJ30" s="165">
        <f>THG!AJ14</f>
        <v>164365.14919604169</v>
      </c>
      <c r="AK30" s="165">
        <f>THG!AK14</f>
        <v>152923.73867221884</v>
      </c>
      <c r="AL30" s="165">
        <f>THG!AL14</f>
        <v>153007.27310826123</v>
      </c>
      <c r="AM30" s="10"/>
      <c r="AN30" s="10"/>
    </row>
    <row r="31" spans="2:41">
      <c r="B31" s="19" t="s">
        <v>97</v>
      </c>
      <c r="C31" s="1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68">
        <f>SUM(AA32:AA33)</f>
        <v>150783.18197599999</v>
      </c>
      <c r="AB31" s="168">
        <f t="shared" ref="AB31:AH31" si="9">SUM(AB32:AB33)</f>
        <v>151663.638966</v>
      </c>
      <c r="AC31" s="168">
        <f t="shared" si="9"/>
        <v>151484.50023099998</v>
      </c>
      <c r="AD31" s="168">
        <f t="shared" si="9"/>
        <v>151705.101192</v>
      </c>
      <c r="AE31" s="168">
        <f t="shared" si="9"/>
        <v>154330.41073100001</v>
      </c>
      <c r="AF31" s="168">
        <f t="shared" si="9"/>
        <v>152375.75842299999</v>
      </c>
      <c r="AG31" s="168">
        <f t="shared" si="9"/>
        <v>146173.88799999998</v>
      </c>
      <c r="AH31" s="168">
        <f t="shared" si="9"/>
        <v>137125.52484500001</v>
      </c>
      <c r="AI31" s="168">
        <f t="shared" ref="AI31:AJ31" si="10">SUM(AI32:AI33)</f>
        <v>145748.69454200001</v>
      </c>
      <c r="AJ31" s="168">
        <f t="shared" si="10"/>
        <v>132428.63200000001</v>
      </c>
      <c r="AK31" s="168">
        <f t="shared" ref="AK31:AL31" si="11">SUM(AK32:AK33)</f>
        <v>120327.53827654276</v>
      </c>
      <c r="AL31" s="168">
        <f t="shared" si="11"/>
        <v>0</v>
      </c>
    </row>
    <row r="32" spans="2:41" s="150" customFormat="1" outlineLevel="1">
      <c r="B32" s="19" t="s">
        <v>109</v>
      </c>
      <c r="C32" s="159"/>
      <c r="D32" s="168"/>
      <c r="E32" s="168" t="s">
        <v>146</v>
      </c>
      <c r="F32" s="168" t="s">
        <v>147</v>
      </c>
      <c r="G32" s="168" t="s">
        <v>151</v>
      </c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>
        <v>98667.777323999995</v>
      </c>
      <c r="AB32" s="168">
        <v>100186.585347</v>
      </c>
      <c r="AC32" s="168">
        <v>99280.891518999997</v>
      </c>
      <c r="AD32" s="168">
        <v>100064.528158</v>
      </c>
      <c r="AE32" s="168">
        <v>100561.13883500001</v>
      </c>
      <c r="AF32" s="168">
        <v>98509.999935999993</v>
      </c>
      <c r="AG32" s="168">
        <v>94960.52399999999</v>
      </c>
      <c r="AH32" s="168">
        <v>89497.544599999994</v>
      </c>
      <c r="AI32" s="168">
        <v>95835.886171000006</v>
      </c>
      <c r="AJ32" s="168">
        <v>86193.278000000006</v>
      </c>
      <c r="AK32" s="168">
        <v>77732.322103092214</v>
      </c>
      <c r="AL32" s="168">
        <v>0</v>
      </c>
    </row>
    <row r="33" spans="2:40" s="150" customFormat="1" outlineLevel="1">
      <c r="B33" s="19" t="s">
        <v>110</v>
      </c>
      <c r="C33" s="159"/>
      <c r="D33" s="168"/>
      <c r="E33" s="168" t="s">
        <v>146</v>
      </c>
      <c r="F33" s="168" t="s">
        <v>147</v>
      </c>
      <c r="G33" s="168" t="s">
        <v>155</v>
      </c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>
        <v>52115.404651999997</v>
      </c>
      <c r="AB33" s="168">
        <v>51477.053618999998</v>
      </c>
      <c r="AC33" s="168">
        <v>52203.608711999979</v>
      </c>
      <c r="AD33" s="168">
        <v>51640.573034000008</v>
      </c>
      <c r="AE33" s="168">
        <v>53769.271895999998</v>
      </c>
      <c r="AF33" s="168">
        <v>53865.758486999999</v>
      </c>
      <c r="AG33" s="168">
        <v>51213.364000000001</v>
      </c>
      <c r="AH33" s="168">
        <v>47627.980244999999</v>
      </c>
      <c r="AI33" s="168">
        <v>49912.808370999999</v>
      </c>
      <c r="AJ33" s="168">
        <v>46235.353999999999</v>
      </c>
      <c r="AK33" s="168">
        <v>42595.216173450543</v>
      </c>
      <c r="AL33" s="168">
        <v>0</v>
      </c>
    </row>
    <row r="34" spans="2:40">
      <c r="B34" s="90" t="s">
        <v>98</v>
      </c>
      <c r="C34" s="89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>
        <f t="shared" ref="AA34" si="12">AA30-AA31</f>
        <v>26263.229072373972</v>
      </c>
      <c r="AB34" s="167">
        <f t="shared" ref="AB34:AH34" si="13">AB30-AB31</f>
        <v>24625.65470734745</v>
      </c>
      <c r="AC34" s="167">
        <f t="shared" si="13"/>
        <v>31534.252825076081</v>
      </c>
      <c r="AD34" s="167">
        <f t="shared" si="13"/>
        <v>35132.705413514632</v>
      </c>
      <c r="AE34" s="167">
        <f t="shared" si="13"/>
        <v>38253.706472781225</v>
      </c>
      <c r="AF34" s="167">
        <f t="shared" si="13"/>
        <v>32590.301083564525</v>
      </c>
      <c r="AG34" s="167">
        <f t="shared" si="13"/>
        <v>33144.437000512728</v>
      </c>
      <c r="AH34" s="167">
        <f t="shared" si="13"/>
        <v>35451.722783267207</v>
      </c>
      <c r="AI34" s="167">
        <f t="shared" ref="AI34:AJ34" si="14">AI30-AI31</f>
        <v>34544.30226995211</v>
      </c>
      <c r="AJ34" s="167">
        <f t="shared" si="14"/>
        <v>31936.517196041677</v>
      </c>
      <c r="AK34" s="167">
        <f t="shared" ref="AK34:AL34" si="15">AK30-AK31</f>
        <v>32596.200395676075</v>
      </c>
      <c r="AL34" s="167">
        <f t="shared" si="15"/>
        <v>153007.27310826123</v>
      </c>
    </row>
    <row r="35" spans="2:40">
      <c r="B35" s="145" t="s">
        <v>99</v>
      </c>
      <c r="C35" s="147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8">
        <f t="shared" ref="AA35" si="16">AA31/AA30</f>
        <v>0.85165907110538297</v>
      </c>
      <c r="AB35" s="148">
        <f t="shared" ref="AB35:AH35" si="17">AB31/AB30</f>
        <v>0.86031111592643184</v>
      </c>
      <c r="AC35" s="148">
        <f t="shared" si="17"/>
        <v>0.82769933518553618</v>
      </c>
      <c r="AD35" s="148">
        <f t="shared" si="17"/>
        <v>0.81196147582864164</v>
      </c>
      <c r="AE35" s="148">
        <f t="shared" si="17"/>
        <v>0.80136624438087278</v>
      </c>
      <c r="AF35" s="148">
        <f t="shared" si="17"/>
        <v>0.82380388504514857</v>
      </c>
      <c r="AG35" s="148">
        <f t="shared" si="17"/>
        <v>0.81516425050023211</v>
      </c>
      <c r="AH35" s="148">
        <f t="shared" si="17"/>
        <v>0.79457475843147929</v>
      </c>
      <c r="AI35" s="148">
        <f t="shared" ref="AI35:AJ35" si="18">AI31/AI30</f>
        <v>0.80839908992148901</v>
      </c>
      <c r="AJ35" s="148">
        <f t="shared" si="18"/>
        <v>0.80569775677963007</v>
      </c>
      <c r="AK35" s="148">
        <f t="shared" ref="AK35:AL35" si="19">AK31/AK30</f>
        <v>0.78684669444589161</v>
      </c>
      <c r="AL35" s="148">
        <f t="shared" si="19"/>
        <v>0</v>
      </c>
      <c r="AM35" s="30"/>
      <c r="AN35" s="30"/>
    </row>
    <row r="36" spans="2:40">
      <c r="B36" s="6" t="s">
        <v>10</v>
      </c>
      <c r="C36" s="22" t="s">
        <v>3</v>
      </c>
      <c r="D36" s="141">
        <f>THG!D21</f>
        <v>210027.31690962819</v>
      </c>
      <c r="E36" s="141">
        <f>THG!E21</f>
        <v>208432.29499818265</v>
      </c>
      <c r="F36" s="141">
        <f>THG!F21</f>
        <v>190277.47448718816</v>
      </c>
      <c r="G36" s="141">
        <f>THG!G21</f>
        <v>197006.33128836632</v>
      </c>
      <c r="H36" s="141">
        <f>THG!H21</f>
        <v>186224.97845574917</v>
      </c>
      <c r="I36" s="141">
        <f>THG!I21</f>
        <v>187711.41388219435</v>
      </c>
      <c r="J36" s="141">
        <f>THG!J21</f>
        <v>210884.96426407155</v>
      </c>
      <c r="K36" s="141">
        <f>THG!K21</f>
        <v>197654.54104077065</v>
      </c>
      <c r="L36" s="141">
        <f>THG!L21</f>
        <v>189510.95551230639</v>
      </c>
      <c r="M36" s="141">
        <f>THG!M21</f>
        <v>172831.56155428855</v>
      </c>
      <c r="N36" s="141">
        <f>THG!N21</f>
        <v>166789.55078696233</v>
      </c>
      <c r="O36" s="141">
        <f>THG!O21</f>
        <v>187079.52935138243</v>
      </c>
      <c r="P36" s="141">
        <f>THG!P21</f>
        <v>174080.90022703956</v>
      </c>
      <c r="Q36" s="141">
        <f>THG!Q21</f>
        <v>161403.5184242161</v>
      </c>
      <c r="R36" s="141">
        <f>THG!R21</f>
        <v>153223.95620302894</v>
      </c>
      <c r="S36" s="141">
        <f>THG!S21</f>
        <v>157330.87762895427</v>
      </c>
      <c r="T36" s="141">
        <f>THG!T21</f>
        <v>163748.24796319759</v>
      </c>
      <c r="U36" s="141">
        <f>THG!U21</f>
        <v>122057.23154044207</v>
      </c>
      <c r="V36" s="141">
        <f>THG!V21</f>
        <v>147251.69074958633</v>
      </c>
      <c r="W36" s="141">
        <f>THG!W21</f>
        <v>137174.29012983199</v>
      </c>
      <c r="X36" s="141">
        <f>THG!X21</f>
        <v>142933.41752797333</v>
      </c>
      <c r="Y36" s="141">
        <f>THG!Y21</f>
        <v>124657.41541667213</v>
      </c>
      <c r="Z36" s="141">
        <f>THG!Z21</f>
        <v>130369.04622321548</v>
      </c>
      <c r="AA36" s="141">
        <f>THG!AA21</f>
        <v>139109.51038067078</v>
      </c>
      <c r="AB36" s="165">
        <f>THG!AB21</f>
        <v>120288.92829877765</v>
      </c>
      <c r="AC36" s="165">
        <f>THG!AC21</f>
        <v>126239.30646152454</v>
      </c>
      <c r="AD36" s="165">
        <f>THG!AD21</f>
        <v>121504.68550106342</v>
      </c>
      <c r="AE36" s="165">
        <f>THG!AE21</f>
        <v>121129.96153484768</v>
      </c>
      <c r="AF36" s="165">
        <f>THG!AF21</f>
        <v>116109.50283078862</v>
      </c>
      <c r="AG36" s="165">
        <f>THG!AG21</f>
        <v>122296.12617789851</v>
      </c>
      <c r="AH36" s="165">
        <f>THG!AH21</f>
        <v>122497.11358722101</v>
      </c>
      <c r="AI36" s="165">
        <f>THG!AI21</f>
        <v>119286.78221917644</v>
      </c>
      <c r="AJ36" s="165">
        <f>THG!AJ21</f>
        <v>110514.63428514957</v>
      </c>
      <c r="AK36" s="165">
        <f>THG!AK21</f>
        <v>102933.00019870455</v>
      </c>
      <c r="AL36" s="165">
        <f>THG!AL21</f>
        <v>100536.2340247776</v>
      </c>
      <c r="AM36" s="10"/>
      <c r="AN36" s="10"/>
    </row>
    <row r="37" spans="2:40">
      <c r="B37" s="19" t="s">
        <v>97</v>
      </c>
      <c r="C37" s="1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68">
        <f>SUM(AA38:AA40)</f>
        <v>585.24799999999993</v>
      </c>
      <c r="AB37" s="168">
        <f t="shared" ref="AB37:AH37" si="20">SUM(AB38:AB40)</f>
        <v>516.18100000000004</v>
      </c>
      <c r="AC37" s="168">
        <f t="shared" si="20"/>
        <v>530.94799999999998</v>
      </c>
      <c r="AD37" s="168">
        <f t="shared" si="20"/>
        <v>544.428</v>
      </c>
      <c r="AE37" s="168">
        <f t="shared" si="20"/>
        <v>558.57999999999993</v>
      </c>
      <c r="AF37" s="168">
        <f t="shared" si="20"/>
        <v>528.82099999999991</v>
      </c>
      <c r="AG37" s="168">
        <f t="shared" si="20"/>
        <v>546.12099999999998</v>
      </c>
      <c r="AH37" s="168">
        <f t="shared" si="20"/>
        <v>518.31381999999996</v>
      </c>
      <c r="AI37" s="168">
        <f t="shared" ref="AI37:AJ37" si="21">SUM(AI38:AI40)</f>
        <v>580.25822400000004</v>
      </c>
      <c r="AJ37" s="168">
        <f t="shared" si="21"/>
        <v>540.47900000000004</v>
      </c>
      <c r="AK37" s="168">
        <f t="shared" ref="AK37:AL37" si="22">SUM(AK38:AK40)</f>
        <v>506.67419190783102</v>
      </c>
      <c r="AL37" s="168">
        <f t="shared" si="22"/>
        <v>0</v>
      </c>
    </row>
    <row r="38" spans="2:40" s="150" customFormat="1" outlineLevel="1">
      <c r="B38" s="19" t="s">
        <v>111</v>
      </c>
      <c r="C38" s="159"/>
      <c r="D38" s="168"/>
      <c r="E38" s="168" t="s">
        <v>146</v>
      </c>
      <c r="F38" s="168" t="s">
        <v>147</v>
      </c>
      <c r="G38" s="168" t="s">
        <v>152</v>
      </c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>
        <v>503.65499999999997</v>
      </c>
      <c r="AB38" s="168">
        <v>447.67099999999999</v>
      </c>
      <c r="AC38" s="168">
        <v>454.697</v>
      </c>
      <c r="AD38" s="168">
        <v>467.096</v>
      </c>
      <c r="AE38" s="168">
        <v>483.88499999999999</v>
      </c>
      <c r="AF38" s="168">
        <v>457.34</v>
      </c>
      <c r="AG38" s="168">
        <v>462.75899999999996</v>
      </c>
      <c r="AH38" s="168">
        <v>439.67854599999998</v>
      </c>
      <c r="AI38" s="168">
        <v>488.82311900000002</v>
      </c>
      <c r="AJ38" s="168">
        <v>451.7</v>
      </c>
      <c r="AK38" s="168">
        <v>414.95970740583101</v>
      </c>
      <c r="AL38" s="168">
        <v>0</v>
      </c>
    </row>
    <row r="39" spans="2:40" s="150" customFormat="1" outlineLevel="1">
      <c r="B39" s="19" t="s">
        <v>112</v>
      </c>
      <c r="C39" s="159"/>
      <c r="D39" s="168"/>
      <c r="E39" s="168" t="s">
        <v>146</v>
      </c>
      <c r="F39" s="168" t="s">
        <v>147</v>
      </c>
      <c r="G39" s="168" t="s">
        <v>153</v>
      </c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>
        <v>0</v>
      </c>
      <c r="AB39" s="168">
        <v>0</v>
      </c>
      <c r="AC39" s="168">
        <v>0</v>
      </c>
      <c r="AD39" s="168">
        <v>0</v>
      </c>
      <c r="AE39" s="168">
        <v>0</v>
      </c>
      <c r="AF39" s="168">
        <v>0</v>
      </c>
      <c r="AG39" s="168">
        <v>0</v>
      </c>
      <c r="AH39" s="168">
        <v>0</v>
      </c>
      <c r="AI39" s="168">
        <v>0</v>
      </c>
      <c r="AJ39" s="168">
        <v>0</v>
      </c>
      <c r="AK39" s="168">
        <v>0</v>
      </c>
      <c r="AL39" s="168">
        <v>0</v>
      </c>
    </row>
    <row r="40" spans="2:40" s="150" customFormat="1" outlineLevel="1">
      <c r="B40" s="19" t="s">
        <v>113</v>
      </c>
      <c r="C40" s="159"/>
      <c r="D40" s="168"/>
      <c r="E40" s="168" t="s">
        <v>146</v>
      </c>
      <c r="F40" s="168" t="s">
        <v>147</v>
      </c>
      <c r="G40" s="168" t="s">
        <v>154</v>
      </c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>
        <v>81.592999999999989</v>
      </c>
      <c r="AB40" s="168">
        <v>68.509999999999991</v>
      </c>
      <c r="AC40" s="168">
        <v>76.250999999999991</v>
      </c>
      <c r="AD40" s="168">
        <v>77.331999999999994</v>
      </c>
      <c r="AE40" s="168">
        <v>74.694999999999993</v>
      </c>
      <c r="AF40" s="168">
        <v>71.480999999999995</v>
      </c>
      <c r="AG40" s="168">
        <v>83.361999999999995</v>
      </c>
      <c r="AH40" s="168">
        <v>78.635273999999995</v>
      </c>
      <c r="AI40" s="168">
        <v>91.435104999999993</v>
      </c>
      <c r="AJ40" s="168">
        <v>88.778999999999996</v>
      </c>
      <c r="AK40" s="168">
        <v>91.714484502000005</v>
      </c>
      <c r="AL40" s="168">
        <v>0</v>
      </c>
    </row>
    <row r="41" spans="2:40">
      <c r="B41" s="90" t="s">
        <v>98</v>
      </c>
      <c r="C41" s="89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>
        <f t="shared" ref="AA41:AH41" si="23">AA36-AA37</f>
        <v>138524.26238067079</v>
      </c>
      <c r="AB41" s="143">
        <f t="shared" si="23"/>
        <v>119772.74729877766</v>
      </c>
      <c r="AC41" s="143">
        <f t="shared" si="23"/>
        <v>125708.35846152453</v>
      </c>
      <c r="AD41" s="143">
        <f t="shared" si="23"/>
        <v>120960.25750106342</v>
      </c>
      <c r="AE41" s="143">
        <f t="shared" si="23"/>
        <v>120571.38153484768</v>
      </c>
      <c r="AF41" s="143">
        <f t="shared" si="23"/>
        <v>115580.68183078863</v>
      </c>
      <c r="AG41" s="143">
        <f t="shared" si="23"/>
        <v>121750.00517789851</v>
      </c>
      <c r="AH41" s="167">
        <f t="shared" si="23"/>
        <v>121978.79976722102</v>
      </c>
      <c r="AI41" s="167">
        <f t="shared" ref="AI41:AJ41" si="24">AI36-AI37</f>
        <v>118706.52399517644</v>
      </c>
      <c r="AJ41" s="167">
        <f t="shared" si="24"/>
        <v>109974.15528514957</v>
      </c>
      <c r="AK41" s="167">
        <f t="shared" ref="AK41:AL41" si="25">AK36-AK37</f>
        <v>102426.32600679672</v>
      </c>
      <c r="AL41" s="167">
        <f t="shared" si="25"/>
        <v>100536.2340247776</v>
      </c>
    </row>
    <row r="42" spans="2:40">
      <c r="B42" s="145" t="s">
        <v>99</v>
      </c>
      <c r="C42" s="147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8">
        <f t="shared" ref="AA42:AH42" si="26">AA37/AA36</f>
        <v>4.2071027235914991E-3</v>
      </c>
      <c r="AB42" s="148">
        <f t="shared" si="26"/>
        <v>4.2911763143977178E-3</v>
      </c>
      <c r="AC42" s="148">
        <f t="shared" si="26"/>
        <v>4.2058849567731373E-3</v>
      </c>
      <c r="AD42" s="148">
        <f t="shared" si="26"/>
        <v>4.4807160954730019E-3</v>
      </c>
      <c r="AE42" s="148">
        <f t="shared" si="26"/>
        <v>4.6114106941188369E-3</v>
      </c>
      <c r="AF42" s="148">
        <f t="shared" si="26"/>
        <v>4.5545023198546768E-3</v>
      </c>
      <c r="AG42" s="148">
        <f t="shared" si="26"/>
        <v>4.4655625412499417E-3</v>
      </c>
      <c r="AH42" s="148">
        <f t="shared" si="26"/>
        <v>4.2312329231410624E-3</v>
      </c>
      <c r="AI42" s="148">
        <f t="shared" ref="AI42:AJ42" si="27">AI37/AI36</f>
        <v>4.8643966515404769E-3</v>
      </c>
      <c r="AJ42" s="148">
        <f t="shared" si="27"/>
        <v>4.8905649780775417E-3</v>
      </c>
      <c r="AK42" s="148">
        <f t="shared" ref="AK42:AL42" si="28">AK37/AK36</f>
        <v>4.9223688314703144E-3</v>
      </c>
      <c r="AL42" s="148">
        <f t="shared" si="28"/>
        <v>0</v>
      </c>
      <c r="AM42" s="30"/>
      <c r="AN42" s="30"/>
    </row>
    <row r="43" spans="2:40">
      <c r="B43" s="125" t="s">
        <v>115</v>
      </c>
      <c r="C43" s="16"/>
      <c r="AH43" s="150"/>
      <c r="AI43" s="150"/>
    </row>
    <row r="44" spans="2:40" s="128" customFormat="1" ht="6" customHeight="1"/>
  </sheetData>
  <mergeCells count="1">
    <mergeCell ref="AN4:AO4"/>
  </mergeCells>
  <pageMargins left="0.70866141732283472" right="0.70866141732283472" top="0.78740157480314965" bottom="0.78740157480314965" header="1.1811023622047245" footer="1.1811023622047245"/>
  <pageSetup paperSize="9" scale="69" orientation="landscape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L55"/>
  <sheetViews>
    <sheetView showGridLines="0" tabSelected="1" zoomScaleNormal="100" zoomScalePageLayoutView="150" workbookViewId="0">
      <pane xSplit="3" ySplit="8" topLeftCell="N9" activePane="bottomRight" state="frozen"/>
      <selection activeCell="B3" sqref="B3"/>
      <selection pane="topRight" activeCell="B3" sqref="B3"/>
      <selection pane="bottomLeft" activeCell="B3" sqref="B3"/>
      <selection pane="bottomRight" activeCell="AK14" sqref="AK14"/>
    </sheetView>
  </sheetViews>
  <sheetFormatPr baseColWidth="10" defaultColWidth="11.42578125" defaultRowHeight="15" outlineLevelCol="1"/>
  <cols>
    <col min="1" max="1" width="5.42578125" style="2" customWidth="1"/>
    <col min="2" max="2" width="62.7109375" style="2" customWidth="1"/>
    <col min="3" max="3" width="25.7109375" style="17" hidden="1" customWidth="1"/>
    <col min="4" max="4" width="10.85546875" style="2" customWidth="1"/>
    <col min="5" max="8" width="10.85546875" style="2" hidden="1" customWidth="1" outlineLevel="1"/>
    <col min="9" max="9" width="10.85546875" style="2" customWidth="1" collapsed="1"/>
    <col min="10" max="13" width="10.85546875" style="2" hidden="1" customWidth="1" outlineLevel="1"/>
    <col min="14" max="14" width="10.85546875" style="2" customWidth="1" collapsed="1"/>
    <col min="15" max="18" width="10.85546875" style="2" hidden="1" customWidth="1" outlineLevel="1"/>
    <col min="19" max="19" width="10.85546875" style="2" customWidth="1" collapsed="1"/>
    <col min="20" max="23" width="10.85546875" style="2" hidden="1" customWidth="1" outlineLevel="1"/>
    <col min="24" max="24" width="10.85546875" style="2" customWidth="1" collapsed="1"/>
    <col min="25" max="28" width="10.85546875" style="2" customWidth="1" outlineLevel="1"/>
    <col min="29" max="29" width="10.85546875" style="2" customWidth="1"/>
    <col min="30" max="33" width="10.85546875" style="2" customWidth="1" outlineLevel="1"/>
    <col min="34" max="34" width="10.85546875" style="150" customWidth="1"/>
    <col min="35" max="36" width="10.85546875" style="88" customWidth="1"/>
    <col min="37" max="38" width="10.85546875" style="150" customWidth="1"/>
    <col min="39" max="16384" width="11.42578125" style="2"/>
  </cols>
  <sheetData>
    <row r="1" spans="2:38"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</row>
    <row r="2" spans="2:38" ht="14.25" customHeight="1">
      <c r="B2" s="1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</row>
    <row r="3" spans="2:38" ht="22.5" customHeight="1">
      <c r="B3" s="3" t="s">
        <v>40</v>
      </c>
      <c r="C3" s="12" t="s">
        <v>42</v>
      </c>
      <c r="D3" s="24"/>
      <c r="E3" s="2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2:38">
      <c r="B4" s="4" t="s">
        <v>79</v>
      </c>
      <c r="C4" s="13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  <c r="AH4" s="155">
        <v>43831</v>
      </c>
      <c r="AI4" s="155">
        <v>44197</v>
      </c>
      <c r="AJ4" s="155">
        <v>44562</v>
      </c>
      <c r="AK4" s="155">
        <v>44927</v>
      </c>
      <c r="AL4" s="155">
        <v>45292</v>
      </c>
    </row>
    <row r="5" spans="2:38" s="10" customFormat="1" ht="18.75" customHeight="1">
      <c r="B5" s="5" t="s">
        <v>21</v>
      </c>
      <c r="C5" s="20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166"/>
      <c r="AI5" s="142"/>
      <c r="AJ5" s="27"/>
      <c r="AK5" s="166"/>
      <c r="AL5" s="166"/>
    </row>
    <row r="6" spans="2:38" s="10" customFormat="1" ht="18.75" customHeight="1">
      <c r="B6" s="25" t="s">
        <v>22</v>
      </c>
      <c r="C6" s="22" t="s">
        <v>3</v>
      </c>
      <c r="D6" s="26">
        <f t="shared" ref="D6:AJ6" si="0">SUM(D9,D14,D21,D26,D32,D42)</f>
        <v>1252397.3379769335</v>
      </c>
      <c r="E6" s="26">
        <f t="shared" si="0"/>
        <v>1206567.4624502501</v>
      </c>
      <c r="F6" s="26">
        <f t="shared" si="0"/>
        <v>1157074.4128812498</v>
      </c>
      <c r="G6" s="26">
        <f t="shared" si="0"/>
        <v>1147917.3742706492</v>
      </c>
      <c r="H6" s="26">
        <f t="shared" si="0"/>
        <v>1129646.3103331376</v>
      </c>
      <c r="I6" s="26">
        <f t="shared" si="0"/>
        <v>1122690.5807970683</v>
      </c>
      <c r="J6" s="26">
        <f t="shared" si="0"/>
        <v>1140026.4964040145</v>
      </c>
      <c r="K6" s="26">
        <f t="shared" si="0"/>
        <v>1104232.8316643634</v>
      </c>
      <c r="L6" s="26">
        <f t="shared" si="0"/>
        <v>1079170.8689804224</v>
      </c>
      <c r="M6" s="26">
        <f t="shared" si="0"/>
        <v>1045171.8487015408</v>
      </c>
      <c r="N6" s="26">
        <f t="shared" si="0"/>
        <v>1042347.0185475874</v>
      </c>
      <c r="O6" s="26">
        <f t="shared" si="0"/>
        <v>1056831.4212003485</v>
      </c>
      <c r="P6" s="26">
        <f t="shared" si="0"/>
        <v>1035156.772890832</v>
      </c>
      <c r="Q6" s="26">
        <f t="shared" si="0"/>
        <v>1026713.7061552338</v>
      </c>
      <c r="R6" s="26">
        <f t="shared" si="0"/>
        <v>1003305.7335300521</v>
      </c>
      <c r="S6" s="26">
        <f t="shared" si="0"/>
        <v>989744.21910110465</v>
      </c>
      <c r="T6" s="26">
        <f t="shared" si="0"/>
        <v>1003267.4299326952</v>
      </c>
      <c r="U6" s="26">
        <f t="shared" si="0"/>
        <v>962985.93660473358</v>
      </c>
      <c r="V6" s="26">
        <f t="shared" si="0"/>
        <v>971035.794285957</v>
      </c>
      <c r="W6" s="26">
        <f t="shared" si="0"/>
        <v>902261.55456223176</v>
      </c>
      <c r="X6" s="26">
        <f t="shared" si="0"/>
        <v>930249.826224669</v>
      </c>
      <c r="Y6" s="26">
        <f t="shared" si="0"/>
        <v>906735.16014846973</v>
      </c>
      <c r="Z6" s="26">
        <f t="shared" si="0"/>
        <v>916997.1852129394</v>
      </c>
      <c r="AA6" s="26">
        <f t="shared" si="0"/>
        <v>933985.93201660889</v>
      </c>
      <c r="AB6" s="26">
        <f t="shared" si="0"/>
        <v>893549.48646293418</v>
      </c>
      <c r="AC6" s="26">
        <f t="shared" si="0"/>
        <v>901825.99818886572</v>
      </c>
      <c r="AD6" s="26">
        <f t="shared" si="0"/>
        <v>897287.22660375014</v>
      </c>
      <c r="AE6" s="26">
        <f t="shared" si="0"/>
        <v>882232.05367278948</v>
      </c>
      <c r="AF6" s="26">
        <f t="shared" si="0"/>
        <v>852858.34189211612</v>
      </c>
      <c r="AG6" s="26">
        <f t="shared" si="0"/>
        <v>798048.05134671507</v>
      </c>
      <c r="AH6" s="165">
        <f t="shared" si="0"/>
        <v>732993.34173127508</v>
      </c>
      <c r="AI6" s="141">
        <f t="shared" si="0"/>
        <v>761426.75498079986</v>
      </c>
      <c r="AJ6" s="26">
        <f t="shared" si="0"/>
        <v>748792.71341377706</v>
      </c>
      <c r="AK6" s="165">
        <f t="shared" ref="AK6:AL6" si="1">SUM(AK9,AK14,AK21,AK26,AK32,AK42)</f>
        <v>672020.32452759414</v>
      </c>
      <c r="AL6" s="165">
        <f t="shared" si="1"/>
        <v>649058.65929244587</v>
      </c>
    </row>
    <row r="7" spans="2:38" s="10" customFormat="1" ht="18.75" customHeight="1">
      <c r="B7" s="23" t="s">
        <v>23</v>
      </c>
      <c r="C7" s="20" t="s">
        <v>3</v>
      </c>
      <c r="D7" s="27">
        <f t="shared" ref="D7:AJ7" si="2">SUM(D9,D14,D21,D26,D32,D42,D48)</f>
        <v>1288424.6361362373</v>
      </c>
      <c r="E7" s="27">
        <f t="shared" si="2"/>
        <v>1193733.1761686199</v>
      </c>
      <c r="F7" s="27">
        <f t="shared" si="2"/>
        <v>1139554.499819048</v>
      </c>
      <c r="G7" s="27">
        <f t="shared" si="2"/>
        <v>1122594.7565787828</v>
      </c>
      <c r="H7" s="27">
        <f t="shared" si="2"/>
        <v>1112282.931273859</v>
      </c>
      <c r="I7" s="27">
        <f t="shared" si="2"/>
        <v>1116100.5336676231</v>
      </c>
      <c r="J7" s="27">
        <f t="shared" si="2"/>
        <v>1132834.9264207336</v>
      </c>
      <c r="K7" s="27">
        <f t="shared" si="2"/>
        <v>1095821.2078563583</v>
      </c>
      <c r="L7" s="27">
        <f t="shared" si="2"/>
        <v>1064363.7946238816</v>
      </c>
      <c r="M7" s="27">
        <f t="shared" si="2"/>
        <v>1034922.1778714739</v>
      </c>
      <c r="N7" s="27">
        <f t="shared" si="2"/>
        <v>1047035.4131937597</v>
      </c>
      <c r="O7" s="27">
        <f t="shared" si="2"/>
        <v>1053964.6491214144</v>
      </c>
      <c r="P7" s="27">
        <f t="shared" si="2"/>
        <v>1062457.5112975694</v>
      </c>
      <c r="Q7" s="27">
        <f t="shared" si="2"/>
        <v>1064035.5958260424</v>
      </c>
      <c r="R7" s="27">
        <f t="shared" si="2"/>
        <v>1028575.9531033456</v>
      </c>
      <c r="S7" s="27">
        <f t="shared" si="2"/>
        <v>1011061.4634722478</v>
      </c>
      <c r="T7" s="27">
        <f t="shared" si="2"/>
        <v>1015196.0262593783</v>
      </c>
      <c r="U7" s="27">
        <f t="shared" si="2"/>
        <v>966658.14582438103</v>
      </c>
      <c r="V7" s="27">
        <f t="shared" si="2"/>
        <v>968175.20311918715</v>
      </c>
      <c r="W7" s="27">
        <f t="shared" si="2"/>
        <v>902533.94825727085</v>
      </c>
      <c r="X7" s="27">
        <f t="shared" si="2"/>
        <v>935554.74968452426</v>
      </c>
      <c r="Y7" s="27">
        <f t="shared" si="2"/>
        <v>905519.05854357581</v>
      </c>
      <c r="Z7" s="27">
        <f t="shared" si="2"/>
        <v>919071.99227859813</v>
      </c>
      <c r="AA7" s="27">
        <f t="shared" si="2"/>
        <v>933525.59435334604</v>
      </c>
      <c r="AB7" s="27">
        <f t="shared" si="2"/>
        <v>903696.4779909323</v>
      </c>
      <c r="AC7" s="27">
        <f t="shared" si="2"/>
        <v>907557.43468910235</v>
      </c>
      <c r="AD7" s="27">
        <f t="shared" si="2"/>
        <v>906163.77394880191</v>
      </c>
      <c r="AE7" s="27">
        <f t="shared" si="2"/>
        <v>886219.01091140555</v>
      </c>
      <c r="AF7" s="27">
        <f t="shared" si="2"/>
        <v>936055.37851923401</v>
      </c>
      <c r="AG7" s="27">
        <f t="shared" si="2"/>
        <v>870169.07638453017</v>
      </c>
      <c r="AH7" s="166">
        <f t="shared" si="2"/>
        <v>809649.15429509722</v>
      </c>
      <c r="AI7" s="142">
        <f t="shared" si="2"/>
        <v>824513.98562653246</v>
      </c>
      <c r="AJ7" s="27">
        <f t="shared" si="2"/>
        <v>824396.17946659843</v>
      </c>
      <c r="AK7" s="166">
        <f t="shared" ref="AK7:AL7" si="3">SUM(AK9,AK14,AK21,AK26,AK32,AK42,AK48)</f>
        <v>740673.12842589058</v>
      </c>
      <c r="AL7" s="166">
        <f t="shared" si="3"/>
        <v>700347.35668822913</v>
      </c>
    </row>
    <row r="8" spans="2:38" ht="18.75" customHeight="1">
      <c r="B8" s="18"/>
      <c r="C8" s="1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167"/>
      <c r="AI8" s="143"/>
      <c r="AJ8" s="91"/>
      <c r="AK8" s="167"/>
      <c r="AL8" s="167"/>
    </row>
    <row r="9" spans="2:38" s="10" customFormat="1" ht="18.75" customHeight="1">
      <c r="B9" s="5" t="s">
        <v>8</v>
      </c>
      <c r="C9" s="20" t="s">
        <v>3</v>
      </c>
      <c r="D9" s="27">
        <f t="shared" ref="D9:AG9" si="4">SUMIF(D10:D12,"&lt;1E+307")</f>
        <v>474772.20432062686</v>
      </c>
      <c r="E9" s="27">
        <f t="shared" si="4"/>
        <v>459944.85788760241</v>
      </c>
      <c r="F9" s="27">
        <f t="shared" si="4"/>
        <v>435675.00835662149</v>
      </c>
      <c r="G9" s="27">
        <f t="shared" si="4"/>
        <v>425924.88838227896</v>
      </c>
      <c r="H9" s="27">
        <f t="shared" si="4"/>
        <v>420014.32191734033</v>
      </c>
      <c r="I9" s="27">
        <f t="shared" si="4"/>
        <v>406935.9822515648</v>
      </c>
      <c r="J9" s="27">
        <f t="shared" si="4"/>
        <v>412872.03705447976</v>
      </c>
      <c r="K9" s="27">
        <f t="shared" si="4"/>
        <v>391009.00720995315</v>
      </c>
      <c r="L9" s="27">
        <f t="shared" si="4"/>
        <v>390959.46894831874</v>
      </c>
      <c r="M9" s="27">
        <f t="shared" si="4"/>
        <v>379987.86231606844</v>
      </c>
      <c r="N9" s="27">
        <f t="shared" si="4"/>
        <v>390843.67773868405</v>
      </c>
      <c r="O9" s="27">
        <f t="shared" si="4"/>
        <v>400841.31582847907</v>
      </c>
      <c r="P9" s="27">
        <f t="shared" si="4"/>
        <v>400956.39258131466</v>
      </c>
      <c r="Q9" s="27">
        <f t="shared" si="4"/>
        <v>416998.50586833432</v>
      </c>
      <c r="R9" s="27">
        <f t="shared" si="4"/>
        <v>411600.83483799745</v>
      </c>
      <c r="S9" s="27">
        <f t="shared" si="4"/>
        <v>402600.94170216646</v>
      </c>
      <c r="T9" s="27">
        <f t="shared" si="4"/>
        <v>403126.92360359995</v>
      </c>
      <c r="U9" s="27">
        <f t="shared" si="4"/>
        <v>406034.90791386692</v>
      </c>
      <c r="V9" s="27">
        <f t="shared" si="4"/>
        <v>388012.31817760115</v>
      </c>
      <c r="W9" s="27">
        <f t="shared" si="4"/>
        <v>361913.9166962154</v>
      </c>
      <c r="X9" s="27">
        <f t="shared" si="4"/>
        <v>372637.07419132604</v>
      </c>
      <c r="Y9" s="27">
        <f t="shared" si="4"/>
        <v>367709.702457737</v>
      </c>
      <c r="Z9" s="27">
        <f t="shared" si="4"/>
        <v>379347.88118184305</v>
      </c>
      <c r="AA9" s="27">
        <f t="shared" si="4"/>
        <v>383702.31874884473</v>
      </c>
      <c r="AB9" s="27">
        <f t="shared" si="4"/>
        <v>362725.92828215502</v>
      </c>
      <c r="AC9" s="27">
        <f t="shared" si="4"/>
        <v>351321.40085469338</v>
      </c>
      <c r="AD9" s="27">
        <f t="shared" si="4"/>
        <v>346328.71761389903</v>
      </c>
      <c r="AE9" s="27">
        <f t="shared" si="4"/>
        <v>326500.69104369043</v>
      </c>
      <c r="AF9" s="27">
        <f t="shared" si="4"/>
        <v>310851.06646191981</v>
      </c>
      <c r="AG9" s="27">
        <f t="shared" si="4"/>
        <v>258283.02963996082</v>
      </c>
      <c r="AH9" s="166">
        <f t="shared" ref="AH9" si="5">SUMIF(AH10:AH12,"&lt;1E+307")</f>
        <v>219037.65428068594</v>
      </c>
      <c r="AI9" s="142">
        <f t="shared" ref="AI9" si="6">SUMIF(AI10:AI12,"&lt;1E+307")</f>
        <v>246421.43045373799</v>
      </c>
      <c r="AJ9" s="27">
        <f t="shared" ref="AJ9:AK9" si="7">SUMIF(AJ10:AJ12,"&lt;1E+307")</f>
        <v>256670.41825982218</v>
      </c>
      <c r="AK9" s="166">
        <f t="shared" si="7"/>
        <v>202582.41705156237</v>
      </c>
      <c r="AL9" s="166">
        <f t="shared" ref="AL9" si="8">SUMIF(AL10:AL12,"&lt;1E+307")</f>
        <v>184993.88634258282</v>
      </c>
    </row>
    <row r="10" spans="2:38" ht="18.75" customHeight="1">
      <c r="B10" s="18" t="s">
        <v>0</v>
      </c>
      <c r="C10" s="15" t="s">
        <v>3</v>
      </c>
      <c r="D10" s="28">
        <f>SUM('CO2'!D10,'CH4'!D10,N2O!D10)</f>
        <v>431082.90738965612</v>
      </c>
      <c r="E10" s="28">
        <f>SUM('CO2'!E10,'CH4'!E10,N2O!E10)</f>
        <v>417239.36685681116</v>
      </c>
      <c r="F10" s="28">
        <f>SUM('CO2'!F10,'CH4'!F10,N2O!F10)</f>
        <v>395545.59395169618</v>
      </c>
      <c r="G10" s="28">
        <f>SUM('CO2'!G10,'CH4'!G10,N2O!G10)</f>
        <v>384453.07304713194</v>
      </c>
      <c r="H10" s="28">
        <f>SUM('CO2'!H10,'CH4'!H10,N2O!H10)</f>
        <v>381961.68321181257</v>
      </c>
      <c r="I10" s="28">
        <f>SUM('CO2'!I10,'CH4'!I10,N2O!I10)</f>
        <v>370192.09022787947</v>
      </c>
      <c r="J10" s="28">
        <f>SUM('CO2'!J10,'CH4'!J10,N2O!J10)</f>
        <v>377049.69211686979</v>
      </c>
      <c r="K10" s="28">
        <f>SUM('CO2'!K10,'CH4'!K10,N2O!K10)</f>
        <v>355969.13829080091</v>
      </c>
      <c r="L10" s="28">
        <f>SUM('CO2'!L10,'CH4'!L10,N2O!L10)</f>
        <v>358861.67672242987</v>
      </c>
      <c r="M10" s="28">
        <f>SUM('CO2'!M10,'CH4'!M10,N2O!M10)</f>
        <v>346765.42246080033</v>
      </c>
      <c r="N10" s="28">
        <f>SUM('CO2'!N10,'CH4'!N10,N2O!N10)</f>
        <v>359790.49001498101</v>
      </c>
      <c r="O10" s="28">
        <f>SUM('CO2'!O10,'CH4'!O10,N2O!O10)</f>
        <v>372369.12140645605</v>
      </c>
      <c r="P10" s="28">
        <f>SUM('CO2'!P10,'CH4'!P10,N2O!P10)</f>
        <v>373795.60706243274</v>
      </c>
      <c r="Q10" s="28">
        <f>SUM('CO2'!Q10,'CH4'!Q10,N2O!Q10)</f>
        <v>392049.1992744676</v>
      </c>
      <c r="R10" s="28">
        <f>SUM('CO2'!R10,'CH4'!R10,N2O!R10)</f>
        <v>389767.55129355768</v>
      </c>
      <c r="S10" s="28">
        <f>SUM('CO2'!S10,'CH4'!S10,N2O!S10)</f>
        <v>382841.53157137288</v>
      </c>
      <c r="T10" s="28">
        <f>SUM('CO2'!T10,'CH4'!T10,N2O!T10)</f>
        <v>385176.39053957834</v>
      </c>
      <c r="U10" s="28">
        <f>SUM('CO2'!U10,'CH4'!U10,N2O!U10)</f>
        <v>390024.702818744</v>
      </c>
      <c r="V10" s="28">
        <f>SUM('CO2'!V10,'CH4'!V10,N2O!V10)</f>
        <v>372491.56498839223</v>
      </c>
      <c r="W10" s="28">
        <f>SUM('CO2'!W10,'CH4'!W10,N2O!W10)</f>
        <v>348333.69358516316</v>
      </c>
      <c r="X10" s="28">
        <f>SUM('CO2'!X10,'CH4'!X10,N2O!X10)</f>
        <v>359529.52492107166</v>
      </c>
      <c r="Y10" s="28">
        <f>SUM('CO2'!Y10,'CH4'!Y10,N2O!Y10)</f>
        <v>355001.34322447795</v>
      </c>
      <c r="Z10" s="28">
        <f>SUM('CO2'!Z10,'CH4'!Z10,N2O!Z10)</f>
        <v>366044.74533954315</v>
      </c>
      <c r="AA10" s="28">
        <f>SUM('CO2'!AA10,'CH4'!AA10,N2O!AA10)</f>
        <v>371029.76980093564</v>
      </c>
      <c r="AB10" s="28">
        <f>SUM('CO2'!AB10,'CH4'!AB10,N2O!AB10)</f>
        <v>351693.22360708844</v>
      </c>
      <c r="AC10" s="28">
        <f>SUM('CO2'!AC10,'CH4'!AC10,N2O!AC10)</f>
        <v>340419.79339958704</v>
      </c>
      <c r="AD10" s="28">
        <f>SUM('CO2'!AD10,'CH4'!AD10,N2O!AD10)</f>
        <v>336644.91238924116</v>
      </c>
      <c r="AE10" s="28">
        <f>SUM('CO2'!AE10,'CH4'!AE10,N2O!AE10)</f>
        <v>317009.31662042817</v>
      </c>
      <c r="AF10" s="28">
        <f>SUM('CO2'!AF10,'CH4'!AF10,N2O!AF10)</f>
        <v>302856.73756760807</v>
      </c>
      <c r="AG10" s="28">
        <f>SUM('CO2'!AG10,'CH4'!AG10,N2O!AG10)</f>
        <v>252369.91567634034</v>
      </c>
      <c r="AH10" s="167">
        <f>SUM('CO2'!AH10,'CH4'!AH10,N2O!AH10)</f>
        <v>214168.05675168912</v>
      </c>
      <c r="AI10" s="143">
        <f>SUM('CO2'!AI10,'CH4'!AI10,N2O!AI10)</f>
        <v>241577.52891413347</v>
      </c>
      <c r="AJ10" s="91">
        <f>SUM('CO2'!AJ10,'CH4'!AJ10,N2O!AJ10)</f>
        <v>251566.38924606543</v>
      </c>
      <c r="AK10" s="167">
        <f>SUM('CO2'!AK10,'CH4'!AK10,N2O!AK10)</f>
        <v>198061.64429263733</v>
      </c>
      <c r="AL10" s="167">
        <f>SUM('CO2'!AL10,'CH4'!AL10,N2O!AL10)</f>
        <v>180581.4733926045</v>
      </c>
    </row>
    <row r="11" spans="2:38" s="88" customFormat="1" ht="18.75" customHeight="1">
      <c r="B11" s="19" t="s">
        <v>2</v>
      </c>
      <c r="C11" s="14" t="s">
        <v>3</v>
      </c>
      <c r="D11" s="29">
        <f>SUM('CO2'!D11,'CH4'!D11,N2O!D11)</f>
        <v>1102.10405696</v>
      </c>
      <c r="E11" s="29">
        <f>SUM('CO2'!E11,'CH4'!E11,N2O!E11)</f>
        <v>1158.8224344799999</v>
      </c>
      <c r="F11" s="29">
        <f>SUM('CO2'!F11,'CH4'!F11,N2O!F11)</f>
        <v>1146.2562217999998</v>
      </c>
      <c r="G11" s="29">
        <f>SUM('CO2'!G11,'CH4'!G11,N2O!G11)</f>
        <v>1212.3214122399997</v>
      </c>
      <c r="H11" s="29">
        <f>SUM('CO2'!H11,'CH4'!H11,N2O!H11)</f>
        <v>1234.0664028799999</v>
      </c>
      <c r="I11" s="29">
        <f>SUM('CO2'!I11,'CH4'!I11,N2O!I11)</f>
        <v>1346.7070515999999</v>
      </c>
      <c r="J11" s="29">
        <f>SUM('CO2'!J11,'CH4'!J11,N2O!J11)</f>
        <v>1506.574448991111</v>
      </c>
      <c r="K11" s="29">
        <f>SUM('CO2'!K11,'CH4'!K11,N2O!K11)</f>
        <v>1438.946381291111</v>
      </c>
      <c r="L11" s="29">
        <f>SUM('CO2'!L11,'CH4'!L11,N2O!L11)</f>
        <v>1450.1051676533332</v>
      </c>
      <c r="M11" s="29">
        <f>SUM('CO2'!M11,'CH4'!M11,N2O!M11)</f>
        <v>1444.7117946111109</v>
      </c>
      <c r="N11" s="29">
        <f>SUM('CO2'!N11,'CH4'!N11,N2O!N11)</f>
        <v>1431.4026897155554</v>
      </c>
      <c r="O11" s="29">
        <f>SUM('CO2'!O11,'CH4'!O11,N2O!O11)</f>
        <v>1510.0546278799998</v>
      </c>
      <c r="P11" s="29">
        <f>SUM('CO2'!P11,'CH4'!P11,N2O!P11)</f>
        <v>1621.990885546667</v>
      </c>
      <c r="Q11" s="29">
        <f>SUM('CO2'!Q11,'CH4'!Q11,N2O!Q11)</f>
        <v>1524.7198654133331</v>
      </c>
      <c r="R11" s="29">
        <f>SUM('CO2'!R11,'CH4'!R11,N2O!R11)</f>
        <v>1535.4171847999999</v>
      </c>
      <c r="S11" s="29">
        <f>SUM('CO2'!S11,'CH4'!S11,N2O!S11)</f>
        <v>1500.7582990093968</v>
      </c>
      <c r="T11" s="29">
        <f>SUM('CO2'!T11,'CH4'!T11,N2O!T11)</f>
        <v>1693.1054120679664</v>
      </c>
      <c r="U11" s="29">
        <f>SUM('CO2'!U11,'CH4'!U11,N2O!U11)</f>
        <v>1382.0531606745299</v>
      </c>
      <c r="V11" s="29">
        <f>SUM('CO2'!V11,'CH4'!V11,N2O!V11)</f>
        <v>1451.9029456717501</v>
      </c>
      <c r="W11" s="29">
        <f>SUM('CO2'!W11,'CH4'!W11,N2O!W11)</f>
        <v>1369.4616317385833</v>
      </c>
      <c r="X11" s="29">
        <f>SUM('CO2'!X11,'CH4'!X11,N2O!X11)</f>
        <v>1191.1170131017598</v>
      </c>
      <c r="Y11" s="29">
        <f>SUM('CO2'!Y11,'CH4'!Y11,N2O!Y11)</f>
        <v>1243.3532464600003</v>
      </c>
      <c r="Z11" s="29">
        <f>SUM('CO2'!Z11,'CH4'!Z11,N2O!Z11)</f>
        <v>1252.5273939000799</v>
      </c>
      <c r="AA11" s="29">
        <f>SUM('CO2'!AA11,'CH4'!AA11,N2O!AA11)</f>
        <v>1489.1857180473971</v>
      </c>
      <c r="AB11" s="29">
        <f>SUM('CO2'!AB11,'CH4'!AB11,N2O!AB11)</f>
        <v>1210.85502038652</v>
      </c>
      <c r="AC11" s="29">
        <f>SUM('CO2'!AC11,'CH4'!AC11,N2O!AC11)</f>
        <v>1247.2830706930799</v>
      </c>
      <c r="AD11" s="29">
        <f>SUM('CO2'!AD11,'CH4'!AD11,N2O!AD11)</f>
        <v>1060.1524458041401</v>
      </c>
      <c r="AE11" s="29">
        <f>SUM('CO2'!AE11,'CH4'!AE11,N2O!AE11)</f>
        <v>1268.24621258718</v>
      </c>
      <c r="AF11" s="29">
        <f>SUM('CO2'!AF11,'CH4'!AF11,N2O!AF11)</f>
        <v>1346.9831013109099</v>
      </c>
      <c r="AG11" s="29">
        <f>SUM('CO2'!AG11,'CH4'!AG11,N2O!AG11)</f>
        <v>1209.8986901477897</v>
      </c>
      <c r="AH11" s="168">
        <f>SUM('CO2'!AH11,'CH4'!AH11,N2O!AH11)</f>
        <v>777.68307961819971</v>
      </c>
      <c r="AI11" s="144">
        <f>SUM('CO2'!AI11,'CH4'!AI11,N2O!AI11)</f>
        <v>847.24022320094002</v>
      </c>
      <c r="AJ11" s="29">
        <f>SUM('CO2'!AJ11,'CH4'!AJ11,N2O!AJ11)</f>
        <v>1345.3856555505599</v>
      </c>
      <c r="AK11" s="168">
        <f>SUM('CO2'!AK11,'CH4'!AK11,N2O!AK11)</f>
        <v>948.32682952623975</v>
      </c>
      <c r="AL11" s="168">
        <f>SUM('CO2'!AL11,'CH4'!AL11,N2O!AL11)</f>
        <v>875.69376857863983</v>
      </c>
    </row>
    <row r="12" spans="2:38" s="88" customFormat="1" ht="18.75" customHeight="1">
      <c r="B12" s="90" t="s">
        <v>1</v>
      </c>
      <c r="C12" s="89" t="s">
        <v>3</v>
      </c>
      <c r="D12" s="91">
        <f>SUM('CO2'!D12,'CH4'!D12,N2O!D12)</f>
        <v>42587.192874010783</v>
      </c>
      <c r="E12" s="91">
        <f>SUM('CO2'!E12,'CH4'!E12,N2O!E12)</f>
        <v>41546.668596311269</v>
      </c>
      <c r="F12" s="91">
        <f>SUM('CO2'!F12,'CH4'!F12,N2O!F12)</f>
        <v>38983.158183125306</v>
      </c>
      <c r="G12" s="91">
        <f>SUM('CO2'!G12,'CH4'!G12,N2O!G12)</f>
        <v>40259.493922907022</v>
      </c>
      <c r="H12" s="91">
        <f>SUM('CO2'!H12,'CH4'!H12,N2O!H12)</f>
        <v>36818.572302647772</v>
      </c>
      <c r="I12" s="91">
        <f>SUM('CO2'!I12,'CH4'!I12,N2O!I12)</f>
        <v>35397.184972085335</v>
      </c>
      <c r="J12" s="91">
        <f>SUM('CO2'!J12,'CH4'!J12,N2O!J12)</f>
        <v>34315.770488618895</v>
      </c>
      <c r="K12" s="91">
        <f>SUM('CO2'!K12,'CH4'!K12,N2O!K12)</f>
        <v>33600.922537861174</v>
      </c>
      <c r="L12" s="91">
        <f>SUM('CO2'!L12,'CH4'!L12,N2O!L12)</f>
        <v>30647.68705823549</v>
      </c>
      <c r="M12" s="91">
        <f>SUM('CO2'!M12,'CH4'!M12,N2O!M12)</f>
        <v>31777.728060656962</v>
      </c>
      <c r="N12" s="91">
        <f>SUM('CO2'!N12,'CH4'!N12,N2O!N12)</f>
        <v>29621.785033987464</v>
      </c>
      <c r="O12" s="91">
        <f>SUM('CO2'!O12,'CH4'!O12,N2O!O12)</f>
        <v>26962.139794143026</v>
      </c>
      <c r="P12" s="91">
        <f>SUM('CO2'!P12,'CH4'!P12,N2O!P12)</f>
        <v>25538.794633335248</v>
      </c>
      <c r="Q12" s="91">
        <f>SUM('CO2'!Q12,'CH4'!Q12,N2O!Q12)</f>
        <v>23424.586728453385</v>
      </c>
      <c r="R12" s="91">
        <f>SUM('CO2'!R12,'CH4'!R12,N2O!R12)</f>
        <v>20297.866359639767</v>
      </c>
      <c r="S12" s="91">
        <f>SUM('CO2'!S12,'CH4'!S12,N2O!S12)</f>
        <v>18258.651831784155</v>
      </c>
      <c r="T12" s="91">
        <f>SUM('CO2'!T12,'CH4'!T12,N2O!T12)</f>
        <v>16257.427651953649</v>
      </c>
      <c r="U12" s="91">
        <f>SUM('CO2'!U12,'CH4'!U12,N2O!U12)</f>
        <v>14628.15193444842</v>
      </c>
      <c r="V12" s="91">
        <f>SUM('CO2'!V12,'CH4'!V12,N2O!V12)</f>
        <v>14068.850243537139</v>
      </c>
      <c r="W12" s="91">
        <f>SUM('CO2'!W12,'CH4'!W12,N2O!W12)</f>
        <v>12210.76147931368</v>
      </c>
      <c r="X12" s="91">
        <f>SUM('CO2'!X12,'CH4'!X12,N2O!X12)</f>
        <v>11916.432257152599</v>
      </c>
      <c r="Y12" s="91">
        <f>SUM('CO2'!Y12,'CH4'!Y12,N2O!Y12)</f>
        <v>11465.005986799035</v>
      </c>
      <c r="Z12" s="91">
        <f>SUM('CO2'!Z12,'CH4'!Z12,N2O!Z12)</f>
        <v>12050.608448399802</v>
      </c>
      <c r="AA12" s="91">
        <f>SUM('CO2'!AA12,'CH4'!AA12,N2O!AA12)</f>
        <v>11183.363229861718</v>
      </c>
      <c r="AB12" s="91">
        <f>SUM('CO2'!AB12,'CH4'!AB12,N2O!AB12)</f>
        <v>9821.8496546800434</v>
      </c>
      <c r="AC12" s="91">
        <f>SUM('CO2'!AC12,'CH4'!AC12,N2O!AC12)</f>
        <v>9654.3243844132703</v>
      </c>
      <c r="AD12" s="91">
        <f>SUM('CO2'!AD12,'CH4'!AD12,N2O!AD12)</f>
        <v>8623.6527788537442</v>
      </c>
      <c r="AE12" s="91">
        <f>SUM('CO2'!AE12,'CH4'!AE12,N2O!AE12)</f>
        <v>8223.1282106750641</v>
      </c>
      <c r="AF12" s="91">
        <f>SUM('CO2'!AF12,'CH4'!AF12,N2O!AF12)</f>
        <v>6647.3457930008053</v>
      </c>
      <c r="AG12" s="91">
        <f>SUM('CO2'!AG12,'CH4'!AG12,N2O!AG12)</f>
        <v>4703.2152734726915</v>
      </c>
      <c r="AH12" s="167">
        <f>SUM('CO2'!AH12,'CH4'!AH12,N2O!AH12)</f>
        <v>4091.9144493786152</v>
      </c>
      <c r="AI12" s="143">
        <f>SUM('CO2'!AI12,'CH4'!AI12,N2O!AI12)</f>
        <v>3996.6613164036071</v>
      </c>
      <c r="AJ12" s="91">
        <f>SUM('CO2'!AJ12,'CH4'!AJ12,N2O!AJ12)</f>
        <v>3758.6433582062077</v>
      </c>
      <c r="AK12" s="167">
        <f>SUM('CO2'!AK12,'CH4'!AK12,N2O!AK12)</f>
        <v>3572.445929398787</v>
      </c>
      <c r="AL12" s="167">
        <f>SUM('CO2'!AL12,'CH4'!AL12,N2O!AL12)</f>
        <v>3536.7191813996874</v>
      </c>
    </row>
    <row r="13" spans="2:38" s="88" customFormat="1" ht="18.75" customHeight="1">
      <c r="B13" s="19"/>
      <c r="C13" s="14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168"/>
      <c r="AI13" s="144"/>
      <c r="AJ13" s="29"/>
      <c r="AK13" s="168"/>
      <c r="AL13" s="168"/>
    </row>
    <row r="14" spans="2:38" s="10" customFormat="1" ht="18.75" customHeight="1">
      <c r="B14" s="6" t="s">
        <v>9</v>
      </c>
      <c r="C14" s="22" t="s">
        <v>3</v>
      </c>
      <c r="D14" s="26">
        <f t="shared" ref="D14:AJ14" si="9">SUMIF(D15:D19,"&lt;1E+307")</f>
        <v>277703.0828141236</v>
      </c>
      <c r="E14" s="26">
        <f t="shared" si="9"/>
        <v>252375.9643288675</v>
      </c>
      <c r="F14" s="26">
        <f t="shared" si="9"/>
        <v>241066.98950376714</v>
      </c>
      <c r="G14" s="26">
        <f t="shared" si="9"/>
        <v>231345.68923747653</v>
      </c>
      <c r="H14" s="26">
        <f t="shared" si="9"/>
        <v>234903.62143561189</v>
      </c>
      <c r="I14" s="26">
        <f t="shared" si="9"/>
        <v>236785.28481656502</v>
      </c>
      <c r="J14" s="26">
        <f t="shared" si="9"/>
        <v>225570.71931643365</v>
      </c>
      <c r="K14" s="26">
        <f t="shared" si="9"/>
        <v>230129.72744884351</v>
      </c>
      <c r="L14" s="26">
        <f t="shared" si="9"/>
        <v>213140.65542267766</v>
      </c>
      <c r="M14" s="26">
        <f t="shared" si="9"/>
        <v>203031.84220372024</v>
      </c>
      <c r="N14" s="26">
        <f t="shared" si="9"/>
        <v>202597.85035506665</v>
      </c>
      <c r="O14" s="26">
        <f t="shared" si="9"/>
        <v>191975.78133434261</v>
      </c>
      <c r="P14" s="26">
        <f t="shared" si="9"/>
        <v>189761.24792463228</v>
      </c>
      <c r="Q14" s="26">
        <f t="shared" si="9"/>
        <v>189097.81904205933</v>
      </c>
      <c r="R14" s="26">
        <f t="shared" si="9"/>
        <v>189121.05735574217</v>
      </c>
      <c r="S14" s="26">
        <f t="shared" si="9"/>
        <v>186380.10528444086</v>
      </c>
      <c r="T14" s="26">
        <f t="shared" si="9"/>
        <v>190929.28168808113</v>
      </c>
      <c r="U14" s="26">
        <f t="shared" si="9"/>
        <v>199080.93744502912</v>
      </c>
      <c r="V14" s="26">
        <f t="shared" si="9"/>
        <v>195583.61002161674</v>
      </c>
      <c r="W14" s="26">
        <f t="shared" si="9"/>
        <v>169945.08762495421</v>
      </c>
      <c r="X14" s="26">
        <f t="shared" si="9"/>
        <v>184059.48457331423</v>
      </c>
      <c r="Y14" s="26">
        <f t="shared" si="9"/>
        <v>182195.9499490874</v>
      </c>
      <c r="Z14" s="26">
        <f t="shared" si="9"/>
        <v>177381.01732424117</v>
      </c>
      <c r="AA14" s="26">
        <f t="shared" si="9"/>
        <v>177046.41104837396</v>
      </c>
      <c r="AB14" s="26">
        <f t="shared" si="9"/>
        <v>176289.29367334745</v>
      </c>
      <c r="AC14" s="26">
        <f t="shared" si="9"/>
        <v>183018.75305607606</v>
      </c>
      <c r="AD14" s="26">
        <f t="shared" si="9"/>
        <v>186837.80660551463</v>
      </c>
      <c r="AE14" s="26">
        <f t="shared" si="9"/>
        <v>192584.11720378124</v>
      </c>
      <c r="AF14" s="26">
        <f t="shared" si="9"/>
        <v>184966.05950656452</v>
      </c>
      <c r="AG14" s="26">
        <f t="shared" si="9"/>
        <v>179318.3250005127</v>
      </c>
      <c r="AH14" s="165">
        <f t="shared" si="9"/>
        <v>172577.24762826721</v>
      </c>
      <c r="AI14" s="141">
        <f t="shared" si="9"/>
        <v>180292.99681195212</v>
      </c>
      <c r="AJ14" s="26">
        <f t="shared" si="9"/>
        <v>164365.14919604169</v>
      </c>
      <c r="AK14" s="165">
        <f t="shared" ref="AK14:AL14" si="10">SUMIF(AK15:AK19,"&lt;1E+307")</f>
        <v>152923.73867221884</v>
      </c>
      <c r="AL14" s="165">
        <f t="shared" si="10"/>
        <v>153007.27310826123</v>
      </c>
    </row>
    <row r="15" spans="2:38" ht="18.75" customHeight="1">
      <c r="B15" s="19" t="s">
        <v>24</v>
      </c>
      <c r="C15" s="14" t="s">
        <v>3</v>
      </c>
      <c r="D15" s="29">
        <f>SUM('CO2'!D15,'CH4'!D15,N2O!D15,'F-Gase'!D15)</f>
        <v>184425.16074303689</v>
      </c>
      <c r="E15" s="29">
        <f>SUM('CO2'!E15,'CH4'!E15,N2O!E15,'F-Gase'!E15)</f>
        <v>162765.32313277118</v>
      </c>
      <c r="F15" s="29">
        <f>SUM('CO2'!F15,'CH4'!F15,N2O!F15,'F-Gase'!F15)</f>
        <v>151475.74268655232</v>
      </c>
      <c r="G15" s="29">
        <f>SUM('CO2'!G15,'CH4'!G15,N2O!G15,'F-Gase'!G15)</f>
        <v>140491.15757229261</v>
      </c>
      <c r="H15" s="29">
        <f>SUM('CO2'!H15,'CH4'!H15,N2O!H15,'F-Gase'!H15)</f>
        <v>138524.59708879204</v>
      </c>
      <c r="I15" s="29">
        <f>SUM('CO2'!I15,'CH4'!I15,N2O!I15,'F-Gase'!I15)</f>
        <v>141976.22964579114</v>
      </c>
      <c r="J15" s="29">
        <f>SUM('CO2'!J15,'CH4'!J15,N2O!J15,'F-Gase'!J15)</f>
        <v>132650.6914062117</v>
      </c>
      <c r="K15" s="29">
        <f>SUM('CO2'!K15,'CH4'!K15,N2O!K15,'F-Gase'!K15)</f>
        <v>136617.66764047946</v>
      </c>
      <c r="L15" s="29">
        <f>SUM('CO2'!L15,'CH4'!L15,N2O!L15,'F-Gase'!L15)</f>
        <v>132094.64462890776</v>
      </c>
      <c r="M15" s="29">
        <f>SUM('CO2'!M15,'CH4'!M15,N2O!M15,'F-Gase'!M15)</f>
        <v>129585.66824291575</v>
      </c>
      <c r="N15" s="29">
        <f>SUM('CO2'!N15,'CH4'!N15,N2O!N15,'F-Gase'!N15)</f>
        <v>125901.3741777321</v>
      </c>
      <c r="O15" s="29">
        <f>SUM('CO2'!O15,'CH4'!O15,N2O!O15,'F-Gase'!O15)</f>
        <v>118885.26672347281</v>
      </c>
      <c r="P15" s="29">
        <f>SUM('CO2'!P15,'CH4'!P15,N2O!P15,'F-Gase'!P15)</f>
        <v>118220.44617305983</v>
      </c>
      <c r="Q15" s="29">
        <f>SUM('CO2'!Q15,'CH4'!Q15,N2O!Q15,'F-Gase'!Q15)</f>
        <v>114935.51464374244</v>
      </c>
      <c r="R15" s="29">
        <f>SUM('CO2'!R15,'CH4'!R15,N2O!R15,'F-Gase'!R15)</f>
        <v>113189.82692878388</v>
      </c>
      <c r="S15" s="29">
        <f>SUM('CO2'!S15,'CH4'!S15,N2O!S15,'F-Gase'!S15)</f>
        <v>113585.17988100502</v>
      </c>
      <c r="T15" s="29">
        <f>SUM('CO2'!T15,'CH4'!T15,N2O!T15,'F-Gase'!T15)</f>
        <v>117840.52797817205</v>
      </c>
      <c r="U15" s="29">
        <f>SUM('CO2'!U15,'CH4'!U15,N2O!U15,'F-Gase'!U15)</f>
        <v>122845.99035224061</v>
      </c>
      <c r="V15" s="29">
        <f>SUM('CO2'!V15,'CH4'!V15,N2O!V15,'F-Gase'!V15)</f>
        <v>123505.21643538831</v>
      </c>
      <c r="W15" s="29">
        <f>SUM('CO2'!W15,'CH4'!W15,N2O!W15,'F-Gase'!W15)</f>
        <v>105833.06659135607</v>
      </c>
      <c r="X15" s="29">
        <f>SUM('CO2'!X15,'CH4'!X15,N2O!X15,'F-Gase'!X15)</f>
        <v>122176.46662992729</v>
      </c>
      <c r="Y15" s="29">
        <f>SUM('CO2'!Y15,'CH4'!Y15,N2O!Y15,'F-Gase'!Y15)</f>
        <v>118880.43847030777</v>
      </c>
      <c r="Z15" s="29">
        <f>SUM('CO2'!Z15,'CH4'!Z15,N2O!Z15,'F-Gase'!Z15)</f>
        <v>116879.12180643753</v>
      </c>
      <c r="AA15" s="29">
        <f>SUM('CO2'!AA15,'CH4'!AA15,N2O!AA15,'F-Gase'!AA15)</f>
        <v>116680.45626022083</v>
      </c>
      <c r="AB15" s="29">
        <f>SUM('CO2'!AB15,'CH4'!AB15,N2O!AB15,'F-Gase'!AB15)</f>
        <v>115637.49827766008</v>
      </c>
      <c r="AC15" s="29">
        <f>SUM('CO2'!AC15,'CH4'!AC15,N2O!AC15,'F-Gase'!AC15)</f>
        <v>123157.30752143949</v>
      </c>
      <c r="AD15" s="29">
        <f>SUM('CO2'!AD15,'CH4'!AD15,N2O!AD15,'F-Gase'!AD15)</f>
        <v>125260.29401888463</v>
      </c>
      <c r="AE15" s="29">
        <f>SUM('CO2'!AE15,'CH4'!AE15,N2O!AE15,'F-Gase'!AE15)</f>
        <v>127095.64242663537</v>
      </c>
      <c r="AF15" s="29">
        <f>SUM('CO2'!AF15,'CH4'!AF15,N2O!AF15,'F-Gase'!AF15)</f>
        <v>122430.50315005615</v>
      </c>
      <c r="AG15" s="29">
        <f>SUM('CO2'!AG15,'CH4'!AG15,N2O!AG15,'F-Gase'!AG15)</f>
        <v>119876.16156687675</v>
      </c>
      <c r="AH15" s="168">
        <f>SUM('CO2'!AH15,'CH4'!AH15,N2O!AH15,'F-Gase'!AH15)</f>
        <v>117231.15400187855</v>
      </c>
      <c r="AI15" s="144">
        <f>SUM('CO2'!AI15,'CH4'!AI15,N2O!AI15,'F-Gase'!AI15)</f>
        <v>123042.26602798013</v>
      </c>
      <c r="AJ15" s="29">
        <f>SUM('CO2'!AJ15,'CH4'!AJ15,N2O!AJ15,'F-Gase'!AJ15)</f>
        <v>112531.30393230736</v>
      </c>
      <c r="AK15" s="168">
        <f>SUM('CO2'!AK15,'CH4'!AK15,N2O!AK15,'F-Gase'!AK15)</f>
        <v>105769.26598818539</v>
      </c>
      <c r="AL15" s="168">
        <f>SUM('CO2'!AL15,'CH4'!AL15,N2O!AL15,'F-Gase'!AL15)</f>
        <v>105916.69858410634</v>
      </c>
    </row>
    <row r="16" spans="2:38" ht="18.75" customHeight="1">
      <c r="B16" s="18" t="s">
        <v>11</v>
      </c>
      <c r="C16" s="15" t="s">
        <v>3</v>
      </c>
      <c r="D16" s="28">
        <f>SUM('CO2'!D16,'CH4'!D16,N2O!D16,'F-Gase'!D16)</f>
        <v>23522.37700335959</v>
      </c>
      <c r="E16" s="28">
        <f>SUM('CO2'!E16,'CH4'!E16,N2O!E16,'F-Gase'!E16)</f>
        <v>21349.780691256252</v>
      </c>
      <c r="F16" s="28">
        <f>SUM('CO2'!F16,'CH4'!F16,N2O!F16,'F-Gase'!F16)</f>
        <v>22135.054345486107</v>
      </c>
      <c r="G16" s="28">
        <f>SUM('CO2'!G16,'CH4'!G16,N2O!G16,'F-Gase'!G16)</f>
        <v>22530.875775271143</v>
      </c>
      <c r="H16" s="28">
        <f>SUM('CO2'!H16,'CH4'!H16,N2O!H16,'F-Gase'!H16)</f>
        <v>24133.10308054736</v>
      </c>
      <c r="I16" s="28">
        <f>SUM('CO2'!I16,'CH4'!I16,N2O!I16,'F-Gase'!I16)</f>
        <v>24487.421341301233</v>
      </c>
      <c r="J16" s="28">
        <f>SUM('CO2'!J16,'CH4'!J16,N2O!J16,'F-Gase'!J16)</f>
        <v>23079.988502054999</v>
      </c>
      <c r="K16" s="28">
        <f>SUM('CO2'!K16,'CH4'!K16,N2O!K16,'F-Gase'!K16)</f>
        <v>23600.760284535903</v>
      </c>
      <c r="L16" s="28">
        <f>SUM('CO2'!L16,'CH4'!L16,N2O!L16,'F-Gase'!L16)</f>
        <v>23600.618765187221</v>
      </c>
      <c r="M16" s="28">
        <f>SUM('CO2'!M16,'CH4'!M16,N2O!M16,'F-Gase'!M16)</f>
        <v>23710.802547403946</v>
      </c>
      <c r="N16" s="28">
        <f>SUM('CO2'!N16,'CH4'!N16,N2O!N16,'F-Gase'!N16)</f>
        <v>23265.792589337652</v>
      </c>
      <c r="O16" s="28">
        <f>SUM('CO2'!O16,'CH4'!O16,N2O!O16,'F-Gase'!O16)</f>
        <v>21051.263216725929</v>
      </c>
      <c r="P16" s="28">
        <f>SUM('CO2'!P16,'CH4'!P16,N2O!P16,'F-Gase'!P16)</f>
        <v>20147.498665345225</v>
      </c>
      <c r="Q16" s="28">
        <f>SUM('CO2'!Q16,'CH4'!Q16,N2O!Q16,'F-Gase'!Q16)</f>
        <v>20878.76077120662</v>
      </c>
      <c r="R16" s="28">
        <f>SUM('CO2'!R16,'CH4'!R16,N2O!R16,'F-Gase'!R16)</f>
        <v>21406.357267773958</v>
      </c>
      <c r="S16" s="28">
        <f>SUM('CO2'!S16,'CH4'!S16,N2O!S16,'F-Gase'!S16)</f>
        <v>20125.529017977478</v>
      </c>
      <c r="T16" s="28">
        <f>SUM('CO2'!T16,'CH4'!T16,N2O!T16,'F-Gase'!T16)</f>
        <v>20599.789467911356</v>
      </c>
      <c r="U16" s="28">
        <f>SUM('CO2'!U16,'CH4'!U16,N2O!U16,'F-Gase'!U16)</f>
        <v>21913.613437772234</v>
      </c>
      <c r="V16" s="28">
        <f>SUM('CO2'!V16,'CH4'!V16,N2O!V16,'F-Gase'!V16)</f>
        <v>20885.548247507759</v>
      </c>
      <c r="W16" s="28">
        <f>SUM('CO2'!W16,'CH4'!W16,N2O!W16,'F-Gase'!W16)</f>
        <v>18501.861688396122</v>
      </c>
      <c r="X16" s="28">
        <f>SUM('CO2'!X16,'CH4'!X16,N2O!X16,'F-Gase'!X16)</f>
        <v>18977.182026466369</v>
      </c>
      <c r="Y16" s="28">
        <f>SUM('CO2'!Y16,'CH4'!Y16,N2O!Y16,'F-Gase'!Y16)</f>
        <v>20178.988661134783</v>
      </c>
      <c r="Z16" s="28">
        <f>SUM('CO2'!Z16,'CH4'!Z16,N2O!Z16,'F-Gase'!Z16)</f>
        <v>19665.716849405289</v>
      </c>
      <c r="AA16" s="28">
        <f>SUM('CO2'!AA16,'CH4'!AA16,N2O!AA16,'F-Gase'!AA16)</f>
        <v>19073.370355693482</v>
      </c>
      <c r="AB16" s="28">
        <f>SUM('CO2'!AB16,'CH4'!AB16,N2O!AB16,'F-Gase'!AB16)</f>
        <v>19638.083771418034</v>
      </c>
      <c r="AC16" s="28">
        <f>SUM('CO2'!AC16,'CH4'!AC16,N2O!AC16,'F-Gase'!AC16)</f>
        <v>19221.312421853476</v>
      </c>
      <c r="AD16" s="28">
        <f>SUM('CO2'!AD16,'CH4'!AD16,N2O!AD16,'F-Gase'!AD16)</f>
        <v>19228.260527882798</v>
      </c>
      <c r="AE16" s="28">
        <f>SUM('CO2'!AE16,'CH4'!AE16,N2O!AE16,'F-Gase'!AE16)</f>
        <v>19933.552517479937</v>
      </c>
      <c r="AF16" s="28">
        <f>SUM('CO2'!AF16,'CH4'!AF16,N2O!AF16,'F-Gase'!AF16)</f>
        <v>19807.482634354652</v>
      </c>
      <c r="AG16" s="28">
        <f>SUM('CO2'!AG16,'CH4'!AG16,N2O!AG16,'F-Gase'!AG16)</f>
        <v>19569.242430160608</v>
      </c>
      <c r="AH16" s="167">
        <f>SUM('CO2'!AH16,'CH4'!AH16,N2O!AH16,'F-Gase'!AH16)</f>
        <v>19201.696960959183</v>
      </c>
      <c r="AI16" s="143">
        <f>SUM('CO2'!AI16,'CH4'!AI16,N2O!AI16,'F-Gase'!AI16)</f>
        <v>19994.870896526314</v>
      </c>
      <c r="AJ16" s="91">
        <f>SUM('CO2'!AJ16,'CH4'!AJ16,N2O!AJ16,'F-Gase'!AJ16)</f>
        <v>18727.24296163391</v>
      </c>
      <c r="AK16" s="167">
        <f>SUM('CO2'!AK16,'CH4'!AK16,N2O!AK16,'F-Gase'!AK16)</f>
        <v>15978.605968516138</v>
      </c>
      <c r="AL16" s="167">
        <f>SUM('CO2'!AL16,'CH4'!AL16,N2O!AL16,'F-Gase'!AL16)</f>
        <v>14871.8879552</v>
      </c>
    </row>
    <row r="17" spans="2:38" ht="18.75" customHeight="1">
      <c r="B17" s="19" t="s">
        <v>12</v>
      </c>
      <c r="C17" s="14" t="s">
        <v>3</v>
      </c>
      <c r="D17" s="29">
        <f>SUM('CO2'!D17,'CH4'!D17,N2O!D17,'F-Gase'!D17)</f>
        <v>32360.362658454898</v>
      </c>
      <c r="E17" s="29">
        <f>SUM('CO2'!E17,'CH4'!E17,N2O!E17,'F-Gase'!E17)</f>
        <v>31639.005342518387</v>
      </c>
      <c r="F17" s="29">
        <f>SUM('CO2'!F17,'CH4'!F17,N2O!F17,'F-Gase'!F17)</f>
        <v>33908.044596102831</v>
      </c>
      <c r="G17" s="29">
        <f>SUM('CO2'!G17,'CH4'!G17,N2O!G17,'F-Gase'!G17)</f>
        <v>31742.229896443943</v>
      </c>
      <c r="H17" s="29">
        <f>SUM('CO2'!H17,'CH4'!H17,N2O!H17,'F-Gase'!H17)</f>
        <v>34276.364297723405</v>
      </c>
      <c r="I17" s="29">
        <f>SUM('CO2'!I17,'CH4'!I17,N2O!I17,'F-Gase'!I17)</f>
        <v>34162.737040377891</v>
      </c>
      <c r="J17" s="29">
        <f>SUM('CO2'!J17,'CH4'!J17,N2O!J17,'F-Gase'!J17)</f>
        <v>34055.793362154225</v>
      </c>
      <c r="K17" s="29">
        <f>SUM('CO2'!K17,'CH4'!K17,N2O!K17,'F-Gase'!K17)</f>
        <v>31773.49903200733</v>
      </c>
      <c r="L17" s="29">
        <f>SUM('CO2'!L17,'CH4'!L17,N2O!L17,'F-Gase'!L17)</f>
        <v>20512.06828561884</v>
      </c>
      <c r="M17" s="29">
        <f>SUM('CO2'!M17,'CH4'!M17,N2O!M17,'F-Gase'!M17)</f>
        <v>16512.062056518866</v>
      </c>
      <c r="N17" s="29">
        <f>SUM('CO2'!N17,'CH4'!N17,N2O!N17,'F-Gase'!N17)</f>
        <v>15295.845529538845</v>
      </c>
      <c r="O17" s="29">
        <f>SUM('CO2'!O17,'CH4'!O17,N2O!O17,'F-Gase'!O17)</f>
        <v>16310.020082799459</v>
      </c>
      <c r="P17" s="29">
        <f>SUM('CO2'!P17,'CH4'!P17,N2O!P17,'F-Gase'!P17)</f>
        <v>17497.352881791852</v>
      </c>
      <c r="Q17" s="29">
        <f>SUM('CO2'!Q17,'CH4'!Q17,N2O!Q17,'F-Gase'!Q17)</f>
        <v>17073.606918684847</v>
      </c>
      <c r="R17" s="29">
        <f>SUM('CO2'!R17,'CH4'!R17,N2O!R17,'F-Gase'!R17)</f>
        <v>17862.715292087985</v>
      </c>
      <c r="S17" s="29">
        <f>SUM('CO2'!S17,'CH4'!S17,N2O!S17,'F-Gase'!S17)</f>
        <v>17403.867534139255</v>
      </c>
      <c r="T17" s="29">
        <f>SUM('CO2'!T17,'CH4'!T17,N2O!T17,'F-Gase'!T17)</f>
        <v>16452.553822738206</v>
      </c>
      <c r="U17" s="29">
        <f>SUM('CO2'!U17,'CH4'!U17,N2O!U17,'F-Gase'!U17)</f>
        <v>18826.07687856819</v>
      </c>
      <c r="V17" s="29">
        <f>SUM('CO2'!V17,'CH4'!V17,N2O!V17,'F-Gase'!V17)</f>
        <v>17496.223728216737</v>
      </c>
      <c r="W17" s="29">
        <f>SUM('CO2'!W17,'CH4'!W17,N2O!W17,'F-Gase'!W17)</f>
        <v>17181.324007272091</v>
      </c>
      <c r="X17" s="29">
        <f>SUM('CO2'!X17,'CH4'!X17,N2O!X17,'F-Gase'!X17)</f>
        <v>10389.540650091421</v>
      </c>
      <c r="Y17" s="29">
        <f>SUM('CO2'!Y17,'CH4'!Y17,N2O!Y17,'F-Gase'!Y17)</f>
        <v>9753.8833002644624</v>
      </c>
      <c r="Z17" s="29">
        <f>SUM('CO2'!Z17,'CH4'!Z17,N2O!Z17,'F-Gase'!Z17)</f>
        <v>9614.0652781967674</v>
      </c>
      <c r="AA17" s="29">
        <f>SUM('CO2'!AA17,'CH4'!AA17,N2O!AA17,'F-Gase'!AA17)</f>
        <v>9636.108756985579</v>
      </c>
      <c r="AB17" s="29">
        <f>SUM('CO2'!AB17,'CH4'!AB17,N2O!AB17,'F-Gase'!AB17)</f>
        <v>7585.6900954210896</v>
      </c>
      <c r="AC17" s="29">
        <f>SUM('CO2'!AC17,'CH4'!AC17,N2O!AC17,'F-Gase'!AC17)</f>
        <v>6926.9201651367948</v>
      </c>
      <c r="AD17" s="29">
        <f>SUM('CO2'!AD17,'CH4'!AD17,N2O!AD17,'F-Gase'!AD17)</f>
        <v>6958.5368348439724</v>
      </c>
      <c r="AE17" s="29">
        <f>SUM('CO2'!AE17,'CH4'!AE17,N2O!AE17,'F-Gase'!AE17)</f>
        <v>6932.2458647417043</v>
      </c>
      <c r="AF17" s="29">
        <f>SUM('CO2'!AF17,'CH4'!AF17,N2O!AF17,'F-Gase'!AF17)</f>
        <v>6761.2787404060464</v>
      </c>
      <c r="AG17" s="29">
        <f>SUM('CO2'!AG17,'CH4'!AG17,N2O!AG17,'F-Gase'!AG17)</f>
        <v>6540.4705396890386</v>
      </c>
      <c r="AH17" s="168">
        <f>SUM('CO2'!AH17,'CH4'!AH17,N2O!AH17,'F-Gase'!AH17)</f>
        <v>6560.1087060580048</v>
      </c>
      <c r="AI17" s="144">
        <f>SUM('CO2'!AI17,'CH4'!AI17,N2O!AI17,'F-Gase'!AI17)</f>
        <v>6418.5045720066164</v>
      </c>
      <c r="AJ17" s="29">
        <f>SUM('CO2'!AJ17,'CH4'!AJ17,N2O!AJ17,'F-Gase'!AJ17)</f>
        <v>5214.21607915394</v>
      </c>
      <c r="AK17" s="168">
        <f>SUM('CO2'!AK17,'CH4'!AK17,N2O!AK17,'F-Gase'!AK17)</f>
        <v>4771.4165175935614</v>
      </c>
      <c r="AL17" s="168">
        <f>SUM('CO2'!AL17,'CH4'!AL17,N2O!AL17,'F-Gase'!AL17)</f>
        <v>5676.2251984840641</v>
      </c>
    </row>
    <row r="18" spans="2:38" ht="18.75" customHeight="1">
      <c r="B18" s="18" t="s">
        <v>13</v>
      </c>
      <c r="C18" s="15" t="s">
        <v>3</v>
      </c>
      <c r="D18" s="28">
        <f>SUM('CO2'!D18,'CH4'!D18,N2O!D18,'F-Gase'!D18)</f>
        <v>27900.741562229996</v>
      </c>
      <c r="E18" s="28">
        <f>SUM('CO2'!E18,'CH4'!E18,N2O!E18,'F-Gase'!E18)</f>
        <v>26909.364120500002</v>
      </c>
      <c r="F18" s="28">
        <f>SUM('CO2'!F18,'CH4'!F18,N2O!F18,'F-Gase'!F18)</f>
        <v>23255.906489500001</v>
      </c>
      <c r="G18" s="28">
        <f>SUM('CO2'!G18,'CH4'!G18,N2O!G18,'F-Gase'!G18)</f>
        <v>23565.259039759996</v>
      </c>
      <c r="H18" s="28">
        <f>SUM('CO2'!H18,'CH4'!H18,N2O!H18,'F-Gase'!H18)</f>
        <v>24695.446330703999</v>
      </c>
      <c r="I18" s="28">
        <f>SUM('CO2'!I18,'CH4'!I18,N2O!I18,'F-Gase'!I18)</f>
        <v>22632.392640241073</v>
      </c>
      <c r="J18" s="28">
        <f>SUM('CO2'!J18,'CH4'!J18,N2O!J18,'F-Gase'!J18)</f>
        <v>21829.7532666474</v>
      </c>
      <c r="K18" s="28">
        <f>SUM('CO2'!K18,'CH4'!K18,N2O!K18,'F-Gase'!K18)</f>
        <v>23450.320019460501</v>
      </c>
      <c r="L18" s="28">
        <f>SUM('CO2'!L18,'CH4'!L18,N2O!L18,'F-Gase'!L18)</f>
        <v>21782.37078270832</v>
      </c>
      <c r="M18" s="28">
        <f>SUM('CO2'!M18,'CH4'!M18,N2O!M18,'F-Gase'!M18)</f>
        <v>19397.499676809526</v>
      </c>
      <c r="N18" s="28">
        <f>SUM('CO2'!N18,'CH4'!N18,N2O!N18,'F-Gase'!N18)</f>
        <v>24183.512989136987</v>
      </c>
      <c r="O18" s="28">
        <f>SUM('CO2'!O18,'CH4'!O18,N2O!O18,'F-Gase'!O18)</f>
        <v>21337.53162310474</v>
      </c>
      <c r="P18" s="28">
        <f>SUM('CO2'!P18,'CH4'!P18,N2O!P18,'F-Gase'!P18)</f>
        <v>19791.080339131357</v>
      </c>
      <c r="Q18" s="28">
        <f>SUM('CO2'!Q18,'CH4'!Q18,N2O!Q18,'F-Gase'!Q18)</f>
        <v>22094.904205691677</v>
      </c>
      <c r="R18" s="28">
        <f>SUM('CO2'!R18,'CH4'!R18,N2O!R18,'F-Gase'!R18)</f>
        <v>22204.629929218438</v>
      </c>
      <c r="S18" s="28">
        <f>SUM('CO2'!S18,'CH4'!S18,N2O!S18,'F-Gase'!S18)</f>
        <v>20790.341029189498</v>
      </c>
      <c r="T18" s="28">
        <f>SUM('CO2'!T18,'CH4'!T18,N2O!T18,'F-Gase'!T18)</f>
        <v>21110.097203638776</v>
      </c>
      <c r="U18" s="28">
        <f>SUM('CO2'!U18,'CH4'!U18,N2O!U18,'F-Gase'!U18)</f>
        <v>20101.176629854966</v>
      </c>
      <c r="V18" s="28">
        <f>SUM('CO2'!V18,'CH4'!V18,N2O!V18,'F-Gase'!V18)</f>
        <v>18515.135933570389</v>
      </c>
      <c r="W18" s="28">
        <f>SUM('CO2'!W18,'CH4'!W18,N2O!W18,'F-Gase'!W18)</f>
        <v>13137.54045853772</v>
      </c>
      <c r="X18" s="28">
        <f>SUM('CO2'!X18,'CH4'!X18,N2O!X18,'F-Gase'!X18)</f>
        <v>16661.484410414829</v>
      </c>
      <c r="Y18" s="28">
        <f>SUM('CO2'!Y18,'CH4'!Y18,N2O!Y18,'F-Gase'!Y18)</f>
        <v>17236.508485664184</v>
      </c>
      <c r="Z18" s="28">
        <f>SUM('CO2'!Z18,'CH4'!Z18,N2O!Z18,'F-Gase'!Z18)</f>
        <v>14879.060608255011</v>
      </c>
      <c r="AA18" s="28">
        <f>SUM('CO2'!AA18,'CH4'!AA18,N2O!AA18,'F-Gase'!AA18)</f>
        <v>15375.044641465658</v>
      </c>
      <c r="AB18" s="28">
        <f>SUM('CO2'!AB18,'CH4'!AB18,N2O!AB18,'F-Gase'!AB18)</f>
        <v>17114.747878477647</v>
      </c>
      <c r="AC18" s="28">
        <f>SUM('CO2'!AC18,'CH4'!AC18,N2O!AC18,'F-Gase'!AC18)</f>
        <v>17021.551401093639</v>
      </c>
      <c r="AD18" s="28">
        <f>SUM('CO2'!AD18,'CH4'!AD18,N2O!AD18,'F-Gase'!AD18)</f>
        <v>18583.937820572955</v>
      </c>
      <c r="AE18" s="28">
        <f>SUM('CO2'!AE18,'CH4'!AE18,N2O!AE18,'F-Gase'!AE18)</f>
        <v>21822.335931970367</v>
      </c>
      <c r="AF18" s="28">
        <f>SUM('CO2'!AF18,'CH4'!AF18,N2O!AF18,'F-Gase'!AF18)</f>
        <v>20072.745867323221</v>
      </c>
      <c r="AG18" s="28">
        <f>SUM('CO2'!AG18,'CH4'!AG18,N2O!AG18,'F-Gase'!AG18)</f>
        <v>18183.507978943639</v>
      </c>
      <c r="AH18" s="167">
        <f>SUM('CO2'!AH18,'CH4'!AH18,N2O!AH18,'F-Gase'!AH18)</f>
        <v>15970.707544018656</v>
      </c>
      <c r="AI18" s="143">
        <f>SUM('CO2'!AI18,'CH4'!AI18,N2O!AI18,'F-Gase'!AI18)</f>
        <v>17702.997135136713</v>
      </c>
      <c r="AJ18" s="91">
        <f>SUM('CO2'!AJ18,'CH4'!AJ18,N2O!AJ18,'F-Gase'!AJ18)</f>
        <v>15655.245754616732</v>
      </c>
      <c r="AK18" s="167">
        <f>SUM('CO2'!AK18,'CH4'!AK18,N2O!AK18,'F-Gase'!AK18)</f>
        <v>15078.394159196698</v>
      </c>
      <c r="AL18" s="167">
        <f>SUM('CO2'!AL18,'CH4'!AL18,N2O!AL18,'F-Gase'!AL18)</f>
        <v>15607.779409815081</v>
      </c>
    </row>
    <row r="19" spans="2:38" ht="18.75" customHeight="1">
      <c r="B19" s="19" t="s">
        <v>80</v>
      </c>
      <c r="C19" s="14" t="s">
        <v>3</v>
      </c>
      <c r="D19" s="29">
        <f>SUM('CO2'!D19,'CH4'!D19,N2O!D19,'F-Gase'!D19)</f>
        <v>9494.4408470422532</v>
      </c>
      <c r="E19" s="29">
        <f>SUM('CO2'!E19,'CH4'!E19,N2O!E19,'F-Gase'!E19)</f>
        <v>9712.4910418216532</v>
      </c>
      <c r="F19" s="29">
        <f>SUM('CO2'!F19,'CH4'!F19,N2O!F19,'F-Gase'!F19)</f>
        <v>10292.241386125905</v>
      </c>
      <c r="G19" s="29">
        <f>SUM('CO2'!G19,'CH4'!G19,N2O!G19,'F-Gase'!G19)</f>
        <v>13016.166953708833</v>
      </c>
      <c r="H19" s="29">
        <f>SUM('CO2'!H19,'CH4'!H19,N2O!H19,'F-Gase'!H19)</f>
        <v>13274.11063784509</v>
      </c>
      <c r="I19" s="29">
        <f>SUM('CO2'!I19,'CH4'!I19,N2O!I19,'F-Gase'!I19)</f>
        <v>13526.504148853677</v>
      </c>
      <c r="J19" s="29">
        <f>SUM('CO2'!J19,'CH4'!J19,N2O!J19,'F-Gase'!J19)</f>
        <v>13954.492779365348</v>
      </c>
      <c r="K19" s="29">
        <f>SUM('CO2'!K19,'CH4'!K19,N2O!K19,'F-Gase'!K19)</f>
        <v>14687.480472360308</v>
      </c>
      <c r="L19" s="29">
        <f>SUM('CO2'!L19,'CH4'!L19,N2O!L19,'F-Gase'!L19)</f>
        <v>15150.952960255539</v>
      </c>
      <c r="M19" s="29">
        <f>SUM('CO2'!M19,'CH4'!M19,N2O!M19,'F-Gase'!M19)</f>
        <v>13825.809680072169</v>
      </c>
      <c r="N19" s="29">
        <f>SUM('CO2'!N19,'CH4'!N19,N2O!N19,'F-Gase'!N19)</f>
        <v>13951.325069321094</v>
      </c>
      <c r="O19" s="29">
        <f>SUM('CO2'!O19,'CH4'!O19,N2O!O19,'F-Gase'!O19)</f>
        <v>14391.699688239671</v>
      </c>
      <c r="P19" s="29">
        <f>SUM('CO2'!P19,'CH4'!P19,N2O!P19,'F-Gase'!P19)</f>
        <v>14104.869865304019</v>
      </c>
      <c r="Q19" s="29">
        <f>SUM('CO2'!Q19,'CH4'!Q19,N2O!Q19,'F-Gase'!Q19)</f>
        <v>14115.032502733764</v>
      </c>
      <c r="R19" s="29">
        <f>SUM('CO2'!R19,'CH4'!R19,N2O!R19,'F-Gase'!R19)</f>
        <v>14457.527937877891</v>
      </c>
      <c r="S19" s="29">
        <f>SUM('CO2'!S19,'CH4'!S19,N2O!S19,'F-Gase'!S19)</f>
        <v>14475.187822129617</v>
      </c>
      <c r="T19" s="29">
        <f>SUM('CO2'!T19,'CH4'!T19,N2O!T19,'F-Gase'!T19)</f>
        <v>14926.313215620725</v>
      </c>
      <c r="U19" s="29">
        <f>SUM('CO2'!U19,'CH4'!U19,N2O!U19,'F-Gase'!U19)</f>
        <v>15394.080146593125</v>
      </c>
      <c r="V19" s="29">
        <f>SUM('CO2'!V19,'CH4'!V19,N2O!V19,'F-Gase'!V19)</f>
        <v>15181.485676933506</v>
      </c>
      <c r="W19" s="29">
        <f>SUM('CO2'!W19,'CH4'!W19,N2O!W19,'F-Gase'!W19)</f>
        <v>15291.294879392208</v>
      </c>
      <c r="X19" s="29">
        <f>SUM('CO2'!X19,'CH4'!X19,N2O!X19,'F-Gase'!X19)</f>
        <v>15854.810856414311</v>
      </c>
      <c r="Y19" s="29">
        <f>SUM('CO2'!Y19,'CH4'!Y19,N2O!Y19,'F-Gase'!Y19)</f>
        <v>16146.131031716213</v>
      </c>
      <c r="Z19" s="29">
        <f>SUM('CO2'!Z19,'CH4'!Z19,N2O!Z19,'F-Gase'!Z19)</f>
        <v>16343.052781946586</v>
      </c>
      <c r="AA19" s="29">
        <f>SUM('CO2'!AA19,'CH4'!AA19,N2O!AA19,'F-Gase'!AA19)</f>
        <v>16281.431034008414</v>
      </c>
      <c r="AB19" s="29">
        <f>SUM('CO2'!AB19,'CH4'!AB19,N2O!AB19,'F-Gase'!AB19)</f>
        <v>16313.273650370595</v>
      </c>
      <c r="AC19" s="29">
        <f>SUM('CO2'!AC19,'CH4'!AC19,N2O!AC19,'F-Gase'!AC19)</f>
        <v>16691.661546552656</v>
      </c>
      <c r="AD19" s="29">
        <f>SUM('CO2'!AD19,'CH4'!AD19,N2O!AD19,'F-Gase'!AD19)</f>
        <v>16806.777403330248</v>
      </c>
      <c r="AE19" s="29">
        <f>SUM('CO2'!AE19,'CH4'!AE19,N2O!AE19,'F-Gase'!AE19)</f>
        <v>16800.340462953864</v>
      </c>
      <c r="AF19" s="29">
        <f>SUM('CO2'!AF19,'CH4'!AF19,N2O!AF19,'F-Gase'!AF19)</f>
        <v>15894.049114424477</v>
      </c>
      <c r="AG19" s="29">
        <f>SUM('CO2'!AG19,'CH4'!AG19,N2O!AG19,'F-Gase'!AG19)</f>
        <v>15148.942484842666</v>
      </c>
      <c r="AH19" s="168">
        <f>SUM('CO2'!AH19,'CH4'!AH19,N2O!AH19,'F-Gase'!AH19)</f>
        <v>13613.580415352837</v>
      </c>
      <c r="AI19" s="144">
        <f>SUM('CO2'!AI19,'CH4'!AI19,N2O!AI19,'F-Gase'!AI19)</f>
        <v>13134.358180302352</v>
      </c>
      <c r="AJ19" s="29">
        <f>SUM('CO2'!AJ19,'CH4'!AJ19,N2O!AJ19,'F-Gase'!AJ19)</f>
        <v>12237.140468329744</v>
      </c>
      <c r="AK19" s="168">
        <f>SUM('CO2'!AK19,'CH4'!AK19,N2O!AK19,'F-Gase'!AK19)</f>
        <v>11326.056038727047</v>
      </c>
      <c r="AL19" s="168">
        <f>SUM('CO2'!AL19,'CH4'!AL19,N2O!AL19,'F-Gase'!AL19)</f>
        <v>10934.681960655733</v>
      </c>
    </row>
    <row r="20" spans="2:38" s="150" customFormat="1" ht="18.75" customHeight="1">
      <c r="B20" s="90"/>
      <c r="C20" s="160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</row>
    <row r="21" spans="2:38" s="10" customFormat="1" ht="18.75" customHeight="1">
      <c r="B21" s="152" t="s">
        <v>10</v>
      </c>
      <c r="C21" s="163" t="s">
        <v>3</v>
      </c>
      <c r="D21" s="166">
        <f>SUMIF(D22:D24,"&lt;1E+307")</f>
        <v>210027.31690962819</v>
      </c>
      <c r="E21" s="166">
        <f t="shared" ref="E21:AE21" si="11">SUMIF(E22:E24,"&lt;1E+307")</f>
        <v>208432.29499818265</v>
      </c>
      <c r="F21" s="166">
        <f t="shared" si="11"/>
        <v>190277.47448718816</v>
      </c>
      <c r="G21" s="166">
        <f t="shared" si="11"/>
        <v>197006.33128836632</v>
      </c>
      <c r="H21" s="166">
        <f t="shared" si="11"/>
        <v>186224.97845574917</v>
      </c>
      <c r="I21" s="166">
        <f t="shared" si="11"/>
        <v>187711.41388219435</v>
      </c>
      <c r="J21" s="166">
        <f t="shared" si="11"/>
        <v>210884.96426407155</v>
      </c>
      <c r="K21" s="166">
        <f t="shared" si="11"/>
        <v>197654.54104077065</v>
      </c>
      <c r="L21" s="166">
        <f t="shared" si="11"/>
        <v>189510.95551230639</v>
      </c>
      <c r="M21" s="166">
        <f t="shared" si="11"/>
        <v>172831.56155428855</v>
      </c>
      <c r="N21" s="166">
        <f t="shared" si="11"/>
        <v>166789.55078696233</v>
      </c>
      <c r="O21" s="166">
        <f t="shared" si="11"/>
        <v>187079.52935138243</v>
      </c>
      <c r="P21" s="166">
        <f t="shared" si="11"/>
        <v>174080.90022703956</v>
      </c>
      <c r="Q21" s="166">
        <f t="shared" si="11"/>
        <v>161403.5184242161</v>
      </c>
      <c r="R21" s="166">
        <f t="shared" si="11"/>
        <v>153223.95620302894</v>
      </c>
      <c r="S21" s="166">
        <f t="shared" si="11"/>
        <v>157330.87762895427</v>
      </c>
      <c r="T21" s="166">
        <f t="shared" si="11"/>
        <v>163748.24796319759</v>
      </c>
      <c r="U21" s="166">
        <f t="shared" si="11"/>
        <v>122057.23154044207</v>
      </c>
      <c r="V21" s="166">
        <f t="shared" si="11"/>
        <v>147251.69074958633</v>
      </c>
      <c r="W21" s="166">
        <f t="shared" si="11"/>
        <v>137174.29012983199</v>
      </c>
      <c r="X21" s="166">
        <f t="shared" si="11"/>
        <v>142933.41752797333</v>
      </c>
      <c r="Y21" s="166">
        <f t="shared" si="11"/>
        <v>124657.41541667213</v>
      </c>
      <c r="Z21" s="166">
        <f t="shared" si="11"/>
        <v>130369.04622321548</v>
      </c>
      <c r="AA21" s="166">
        <f t="shared" si="11"/>
        <v>139109.51038067078</v>
      </c>
      <c r="AB21" s="166">
        <f t="shared" si="11"/>
        <v>120288.92829877765</v>
      </c>
      <c r="AC21" s="166">
        <f t="shared" si="11"/>
        <v>126239.30646152454</v>
      </c>
      <c r="AD21" s="166">
        <f t="shared" si="11"/>
        <v>121504.68550106342</v>
      </c>
      <c r="AE21" s="166">
        <f t="shared" si="11"/>
        <v>121129.96153484768</v>
      </c>
      <c r="AF21" s="166">
        <f t="shared" ref="AF21:AG21" si="12">SUMIF(AF22:AF24,"&lt;1E+307")</f>
        <v>116109.50283078862</v>
      </c>
      <c r="AG21" s="166">
        <f t="shared" si="12"/>
        <v>122296.12617789851</v>
      </c>
      <c r="AH21" s="166">
        <f t="shared" ref="AH21" si="13">SUMIF(AH22:AH24,"&lt;1E+307")</f>
        <v>122497.11358722101</v>
      </c>
      <c r="AI21" s="166">
        <f t="shared" ref="AI21" si="14">SUMIF(AI22:AI24,"&lt;1E+307")</f>
        <v>119286.78221917644</v>
      </c>
      <c r="AJ21" s="166">
        <f t="shared" ref="AJ21:AK21" si="15">SUMIF(AJ22:AJ24,"&lt;1E+307")</f>
        <v>110514.63428514957</v>
      </c>
      <c r="AK21" s="166">
        <f t="shared" si="15"/>
        <v>102933.00019870455</v>
      </c>
      <c r="AL21" s="166">
        <f t="shared" ref="AL21" si="16">SUMIF(AL22:AL24,"&lt;1E+307")</f>
        <v>100536.2340247776</v>
      </c>
    </row>
    <row r="22" spans="2:38" s="150" customFormat="1" ht="18.75" customHeight="1">
      <c r="B22" s="90" t="s">
        <v>72</v>
      </c>
      <c r="C22" s="160" t="s">
        <v>3</v>
      </c>
      <c r="D22" s="167">
        <f>SUM('CO2'!D22,'CH4'!D22,N2O!D22)</f>
        <v>65793.268103336202</v>
      </c>
      <c r="E22" s="167">
        <f>SUM('CO2'!E22,'CH4'!E22,N2O!E22)</f>
        <v>65896.050622922776</v>
      </c>
      <c r="F22" s="167">
        <f>SUM('CO2'!F22,'CH4'!F22,N2O!F22)</f>
        <v>58453.932473158275</v>
      </c>
      <c r="G22" s="167">
        <f>SUM('CO2'!G22,'CH4'!G22,N2O!G22)</f>
        <v>56059.136302240076</v>
      </c>
      <c r="H22" s="167">
        <f>SUM('CO2'!H22,'CH4'!H22,N2O!H22)</f>
        <v>51404.457083265974</v>
      </c>
      <c r="I22" s="167">
        <f>SUM('CO2'!I22,'CH4'!I22,N2O!I22)</f>
        <v>53329.455076414793</v>
      </c>
      <c r="J22" s="167">
        <f>SUM('CO2'!J22,'CH4'!J22,N2O!J22)</f>
        <v>64035.682728766616</v>
      </c>
      <c r="K22" s="167">
        <f>SUM('CO2'!K22,'CH4'!K22,N2O!K22)</f>
        <v>54983.542313923652</v>
      </c>
      <c r="L22" s="167">
        <f>SUM('CO2'!L22,'CH4'!L22,N2O!L22)</f>
        <v>53303.02324716041</v>
      </c>
      <c r="M22" s="167">
        <f>SUM('CO2'!M22,'CH4'!M22,N2O!M22)</f>
        <v>49213.823874342801</v>
      </c>
      <c r="N22" s="167">
        <f>SUM('CO2'!N22,'CH4'!N22,N2O!N22)</f>
        <v>45495.296385219975</v>
      </c>
      <c r="O22" s="167">
        <f>SUM('CO2'!O22,'CH4'!O22,N2O!O22)</f>
        <v>52720.320898754682</v>
      </c>
      <c r="P22" s="167">
        <f>SUM('CO2'!P22,'CH4'!P22,N2O!P22)</f>
        <v>49789.211680061293</v>
      </c>
      <c r="Q22" s="167">
        <f>SUM('CO2'!Q22,'CH4'!Q22,N2O!Q22)</f>
        <v>36756.098037733769</v>
      </c>
      <c r="R22" s="167">
        <f>SUM('CO2'!R22,'CH4'!R22,N2O!R22)</f>
        <v>36977.851299509748</v>
      </c>
      <c r="S22" s="167">
        <f>SUM('CO2'!S22,'CH4'!S22,N2O!S22)</f>
        <v>43694.655368935993</v>
      </c>
      <c r="T22" s="167">
        <f>SUM('CO2'!T22,'CH4'!T22,N2O!T22)</f>
        <v>48193.633501294338</v>
      </c>
      <c r="U22" s="167">
        <f>SUM('CO2'!U22,'CH4'!U22,N2O!U22)</f>
        <v>33427.606570044205</v>
      </c>
      <c r="V22" s="167">
        <f>SUM('CO2'!V22,'CH4'!V22,N2O!V22)</f>
        <v>38920.734644940334</v>
      </c>
      <c r="W22" s="167">
        <f>SUM('CO2'!W22,'CH4'!W22,N2O!W22)</f>
        <v>36591.676773651867</v>
      </c>
      <c r="X22" s="167">
        <f>SUM('CO2'!X22,'CH4'!X22,N2O!X22)</f>
        <v>35523.762170499329</v>
      </c>
      <c r="Y22" s="167">
        <f>SUM('CO2'!Y22,'CH4'!Y22,N2O!Y22)</f>
        <v>34784.117215165992</v>
      </c>
      <c r="Z22" s="167">
        <f>SUM('CO2'!Z22,'CH4'!Z22,N2O!Z22)</f>
        <v>33851.967229766029</v>
      </c>
      <c r="AA22" s="167">
        <f>SUM('CO2'!AA22,'CH4'!AA22,N2O!AA22)</f>
        <v>37263.557675723147</v>
      </c>
      <c r="AB22" s="167">
        <f>SUM('CO2'!AB22,'CH4'!AB22,N2O!AB22)</f>
        <v>34899.594112546147</v>
      </c>
      <c r="AC22" s="167">
        <f>SUM('CO2'!AC22,'CH4'!AC22,N2O!AC22)</f>
        <v>36289.572689202294</v>
      </c>
      <c r="AD22" s="167">
        <f>SUM('CO2'!AD22,'CH4'!AD22,N2O!AD22)</f>
        <v>28555.605650419344</v>
      </c>
      <c r="AE22" s="167">
        <f>SUM('CO2'!AE22,'CH4'!AE22,N2O!AE22)</f>
        <v>29809.021067157591</v>
      </c>
      <c r="AF22" s="167">
        <f>SUM('CO2'!AF22,'CH4'!AF22,N2O!AF22)</f>
        <v>25573.260333806782</v>
      </c>
      <c r="AG22" s="167">
        <f>SUM('CO2'!AG22,'CH4'!AG22,N2O!AG22)</f>
        <v>25950.624243282458</v>
      </c>
      <c r="AH22" s="167">
        <f>SUM('CO2'!AH22,'CH4'!AH22,N2O!AH22)</f>
        <v>25036.799859341845</v>
      </c>
      <c r="AI22" s="167">
        <f>SUM('CO2'!AI22,'CH4'!AI22,N2O!AI22)</f>
        <v>25824.313883436153</v>
      </c>
      <c r="AJ22" s="167">
        <f>SUM('CO2'!AJ22,'CH4'!AJ22,N2O!AJ22)</f>
        <v>24481.468397346813</v>
      </c>
      <c r="AK22" s="167">
        <f>SUM('CO2'!AK22,'CH4'!AK22,N2O!AK22)</f>
        <v>23079.984994194936</v>
      </c>
      <c r="AL22" s="167">
        <f>SUM('CO2'!AL22,'CH4'!AL22,N2O!AL22)</f>
        <v>21487.447470343235</v>
      </c>
    </row>
    <row r="23" spans="2:38" s="150" customFormat="1" ht="18.75" customHeight="1">
      <c r="B23" s="19" t="s">
        <v>17</v>
      </c>
      <c r="C23" s="159" t="s">
        <v>3</v>
      </c>
      <c r="D23" s="168">
        <f>SUM('CO2'!D23,'CH4'!D23,N2O!D23)</f>
        <v>132102.31654405306</v>
      </c>
      <c r="E23" s="168">
        <f>SUM('CO2'!E23,'CH4'!E23,N2O!E23)</f>
        <v>133884.61210321405</v>
      </c>
      <c r="F23" s="168">
        <f>SUM('CO2'!F23,'CH4'!F23,N2O!F23)</f>
        <v>125258.54631404503</v>
      </c>
      <c r="G23" s="168">
        <f>SUM('CO2'!G23,'CH4'!G23,N2O!G23)</f>
        <v>135695.24086689399</v>
      </c>
      <c r="H23" s="168">
        <f>SUM('CO2'!H23,'CH4'!H23,N2O!H23)</f>
        <v>129989.30587587586</v>
      </c>
      <c r="I23" s="168">
        <f>SUM('CO2'!I23,'CH4'!I23,N2O!I23)</f>
        <v>130359.35315313704</v>
      </c>
      <c r="J23" s="168">
        <f>SUM('CO2'!J23,'CH4'!J23,N2O!J23)</f>
        <v>143703.01073585867</v>
      </c>
      <c r="K23" s="168">
        <f>SUM('CO2'!K23,'CH4'!K23,N2O!K23)</f>
        <v>139632.4401176188</v>
      </c>
      <c r="L23" s="168">
        <f>SUM('CO2'!L23,'CH4'!L23,N2O!L23)</f>
        <v>133159.25587786126</v>
      </c>
      <c r="M23" s="168">
        <f>SUM('CO2'!M23,'CH4'!M23,N2O!M23)</f>
        <v>121015.5512672429</v>
      </c>
      <c r="N23" s="168">
        <f>SUM('CO2'!N23,'CH4'!N23,N2O!N23)</f>
        <v>118962.69566393631</v>
      </c>
      <c r="O23" s="168">
        <f>SUM('CO2'!O23,'CH4'!O23,N2O!O23)</f>
        <v>132448.70042547237</v>
      </c>
      <c r="P23" s="168">
        <f>SUM('CO2'!P23,'CH4'!P23,N2O!P23)</f>
        <v>122344.68322712275</v>
      </c>
      <c r="Q23" s="168">
        <f>SUM('CO2'!Q23,'CH4'!Q23,N2O!Q23)</f>
        <v>122623.07565425767</v>
      </c>
      <c r="R23" s="168">
        <f>SUM('CO2'!R23,'CH4'!R23,N2O!R23)</f>
        <v>114508.97688060236</v>
      </c>
      <c r="S23" s="168">
        <f>SUM('CO2'!S23,'CH4'!S23,N2O!S23)</f>
        <v>111868.45130514604</v>
      </c>
      <c r="T23" s="168">
        <f>SUM('CO2'!T23,'CH4'!T23,N2O!T23)</f>
        <v>113943.44735122634</v>
      </c>
      <c r="U23" s="168">
        <f>SUM('CO2'!U23,'CH4'!U23,N2O!U23)</f>
        <v>87293.918241807929</v>
      </c>
      <c r="V23" s="168">
        <f>SUM('CO2'!V23,'CH4'!V23,N2O!V23)</f>
        <v>106970.28026007666</v>
      </c>
      <c r="W23" s="168">
        <f>SUM('CO2'!W23,'CH4'!W23,N2O!W23)</f>
        <v>99196.611084601376</v>
      </c>
      <c r="X23" s="168">
        <f>SUM('CO2'!X23,'CH4'!X23,N2O!X23)</f>
        <v>106066.10325922533</v>
      </c>
      <c r="Y23" s="168">
        <f>SUM('CO2'!Y23,'CH4'!Y23,N2O!Y23)</f>
        <v>88630.771246410208</v>
      </c>
      <c r="Z23" s="168">
        <f>SUM('CO2'!Z23,'CH4'!Z23,N2O!Z23)</f>
        <v>95485.612952221272</v>
      </c>
      <c r="AA23" s="168">
        <f>SUM('CO2'!AA23,'CH4'!AA23,N2O!AA23)</f>
        <v>100775.17726824437</v>
      </c>
      <c r="AB23" s="168">
        <f>SUM('CO2'!AB23,'CH4'!AB23,N2O!AB23)</f>
        <v>84386.809284636896</v>
      </c>
      <c r="AC23" s="168">
        <f>SUM('CO2'!AC23,'CH4'!AC23,N2O!AC23)</f>
        <v>88955.049519459237</v>
      </c>
      <c r="AD23" s="168">
        <f>SUM('CO2'!AD23,'CH4'!AD23,N2O!AD23)</f>
        <v>91916.988200511492</v>
      </c>
      <c r="AE23" s="168">
        <f>SUM('CO2'!AE23,'CH4'!AE23,N2O!AE23)</f>
        <v>90469.985489231854</v>
      </c>
      <c r="AF23" s="168">
        <f>SUM('CO2'!AF23,'CH4'!AF23,N2O!AF23)</f>
        <v>89777.110641248262</v>
      </c>
      <c r="AG23" s="168">
        <f>SUM('CO2'!AG23,'CH4'!AG23,N2O!AG23)</f>
        <v>95423.620913983701</v>
      </c>
      <c r="AH23" s="168">
        <f>SUM('CO2'!AH23,'CH4'!AH23,N2O!AH23)</f>
        <v>96671.738800520194</v>
      </c>
      <c r="AI23" s="168">
        <f>SUM('CO2'!AI23,'CH4'!AI23,N2O!AI23)</f>
        <v>92480.305454517598</v>
      </c>
      <c r="AJ23" s="168">
        <f>SUM('CO2'!AJ23,'CH4'!AJ23,N2O!AJ23)</f>
        <v>85170.035417932566</v>
      </c>
      <c r="AK23" s="168">
        <f>SUM('CO2'!AK23,'CH4'!AK23,N2O!AK23)</f>
        <v>79025.341758476963</v>
      </c>
      <c r="AL23" s="168">
        <f>SUM('CO2'!AL23,'CH4'!AL23,N2O!AL23)</f>
        <v>78189.924621187281</v>
      </c>
    </row>
    <row r="24" spans="2:38" s="150" customFormat="1" ht="18.75" customHeight="1">
      <c r="B24" s="90" t="s">
        <v>73</v>
      </c>
      <c r="C24" s="160" t="s">
        <v>3</v>
      </c>
      <c r="D24" s="167">
        <f>SUM('CO2'!D24,'CH4'!D24,N2O!D24)</f>
        <v>12131.732262238942</v>
      </c>
      <c r="E24" s="167">
        <f>SUM('CO2'!E24,'CH4'!E24,N2O!E24)</f>
        <v>8651.6322720458356</v>
      </c>
      <c r="F24" s="167">
        <f>SUM('CO2'!F24,'CH4'!F24,N2O!F24)</f>
        <v>6564.9956999848464</v>
      </c>
      <c r="G24" s="167">
        <f>SUM('CO2'!G24,'CH4'!G24,N2O!G24)</f>
        <v>5251.9541192322431</v>
      </c>
      <c r="H24" s="167">
        <f>SUM('CO2'!H24,'CH4'!H24,N2O!H24)</f>
        <v>4831.2154966073304</v>
      </c>
      <c r="I24" s="167">
        <f>SUM('CO2'!I24,'CH4'!I24,N2O!I24)</f>
        <v>4022.6056526425295</v>
      </c>
      <c r="J24" s="167">
        <f>SUM('CO2'!J24,'CH4'!J24,N2O!J24)</f>
        <v>3146.2707994462644</v>
      </c>
      <c r="K24" s="167">
        <f>SUM('CO2'!K24,'CH4'!K24,N2O!K24)</f>
        <v>3038.5586092281969</v>
      </c>
      <c r="L24" s="167">
        <f>SUM('CO2'!L24,'CH4'!L24,N2O!L24)</f>
        <v>3048.6763872847341</v>
      </c>
      <c r="M24" s="167">
        <f>SUM('CO2'!M24,'CH4'!M24,N2O!M24)</f>
        <v>2602.1864127028375</v>
      </c>
      <c r="N24" s="167">
        <f>SUM('CO2'!N24,'CH4'!N24,N2O!N24)</f>
        <v>2331.5587378060436</v>
      </c>
      <c r="O24" s="167">
        <f>SUM('CO2'!O24,'CH4'!O24,N2O!O24)</f>
        <v>1910.5080271554025</v>
      </c>
      <c r="P24" s="167">
        <f>SUM('CO2'!P24,'CH4'!P24,N2O!P24)</f>
        <v>1947.0053198555156</v>
      </c>
      <c r="Q24" s="167">
        <f>SUM('CO2'!Q24,'CH4'!Q24,N2O!Q24)</f>
        <v>2024.3447322246861</v>
      </c>
      <c r="R24" s="167">
        <f>SUM('CO2'!R24,'CH4'!R24,N2O!R24)</f>
        <v>1737.1280229168297</v>
      </c>
      <c r="S24" s="167">
        <f>SUM('CO2'!S24,'CH4'!S24,N2O!S24)</f>
        <v>1767.7709548722419</v>
      </c>
      <c r="T24" s="167">
        <f>SUM('CO2'!T24,'CH4'!T24,N2O!T24)</f>
        <v>1611.167110676912</v>
      </c>
      <c r="U24" s="167">
        <f>SUM('CO2'!U24,'CH4'!U24,N2O!U24)</f>
        <v>1335.7067285899216</v>
      </c>
      <c r="V24" s="167">
        <f>SUM('CO2'!V24,'CH4'!V24,N2O!V24)</f>
        <v>1360.675844569329</v>
      </c>
      <c r="W24" s="167">
        <f>SUM('CO2'!W24,'CH4'!W24,N2O!W24)</f>
        <v>1386.0022715787575</v>
      </c>
      <c r="X24" s="167">
        <f>SUM('CO2'!X24,'CH4'!X24,N2O!X24)</f>
        <v>1343.5520982486817</v>
      </c>
      <c r="Y24" s="167">
        <f>SUM('CO2'!Y24,'CH4'!Y24,N2O!Y24)</f>
        <v>1242.5269550959326</v>
      </c>
      <c r="Z24" s="167">
        <f>SUM('CO2'!Z24,'CH4'!Z24,N2O!Z24)</f>
        <v>1031.466041228183</v>
      </c>
      <c r="AA24" s="167">
        <f>SUM('CO2'!AA24,'CH4'!AA24,N2O!AA24)</f>
        <v>1070.775436703251</v>
      </c>
      <c r="AB24" s="167">
        <f>SUM('CO2'!AB24,'CH4'!AB24,N2O!AB24)</f>
        <v>1002.5249015946058</v>
      </c>
      <c r="AC24" s="167">
        <f>SUM('CO2'!AC24,'CH4'!AC24,N2O!AC24)</f>
        <v>994.68425286300374</v>
      </c>
      <c r="AD24" s="167">
        <f>SUM('CO2'!AD24,'CH4'!AD24,N2O!AD24)</f>
        <v>1032.0916501325908</v>
      </c>
      <c r="AE24" s="167">
        <f>SUM('CO2'!AE24,'CH4'!AE24,N2O!AE24)</f>
        <v>850.95497845823365</v>
      </c>
      <c r="AF24" s="167">
        <f>SUM('CO2'!AF24,'CH4'!AF24,N2O!AF24)</f>
        <v>759.13185573358169</v>
      </c>
      <c r="AG24" s="167">
        <f>SUM('CO2'!AG24,'CH4'!AG24,N2O!AG24)</f>
        <v>921.88102063235306</v>
      </c>
      <c r="AH24" s="167">
        <f>SUM('CO2'!AH24,'CH4'!AH24,N2O!AH24)</f>
        <v>788.57492735897142</v>
      </c>
      <c r="AI24" s="167">
        <f>SUM('CO2'!AI24,'CH4'!AI24,N2O!AI24)</f>
        <v>982.16288122270214</v>
      </c>
      <c r="AJ24" s="167">
        <f>SUM('CO2'!AJ24,'CH4'!AJ24,N2O!AJ24)</f>
        <v>863.13046987019948</v>
      </c>
      <c r="AK24" s="167">
        <f>SUM('CO2'!AK24,'CH4'!AK24,N2O!AK24)</f>
        <v>827.67344603265087</v>
      </c>
      <c r="AL24" s="167">
        <f>SUM('CO2'!AL24,'CH4'!AL24,N2O!AL24)</f>
        <v>858.8619332470812</v>
      </c>
    </row>
    <row r="25" spans="2:38" s="150" customFormat="1" ht="18.75" customHeight="1">
      <c r="B25" s="19"/>
      <c r="C25" s="159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</row>
    <row r="26" spans="2:38" s="10" customFormat="1" ht="18.75" customHeight="1">
      <c r="B26" s="153" t="s">
        <v>14</v>
      </c>
      <c r="C26" s="22" t="s">
        <v>3</v>
      </c>
      <c r="D26" s="165">
        <f>SUMIF(D27:D30,"&lt;1E+307")</f>
        <v>163355.36656567437</v>
      </c>
      <c r="E26" s="165">
        <f t="shared" ref="E26:AE26" si="17">SUMIF(E27:E30,"&lt;1E+307")</f>
        <v>166303.23541426711</v>
      </c>
      <c r="F26" s="165">
        <f t="shared" si="17"/>
        <v>172167.93098221859</v>
      </c>
      <c r="G26" s="165">
        <f t="shared" si="17"/>
        <v>176492.86153080547</v>
      </c>
      <c r="H26" s="165">
        <f t="shared" si="17"/>
        <v>172463.21803963472</v>
      </c>
      <c r="I26" s="165">
        <f t="shared" si="17"/>
        <v>176122.47581564035</v>
      </c>
      <c r="J26" s="165">
        <f t="shared" si="17"/>
        <v>175706.37719000189</v>
      </c>
      <c r="K26" s="165">
        <f t="shared" si="17"/>
        <v>176120.93224476895</v>
      </c>
      <c r="L26" s="165">
        <f t="shared" si="17"/>
        <v>179396.53155795173</v>
      </c>
      <c r="M26" s="165">
        <f t="shared" si="17"/>
        <v>184529.66147660156</v>
      </c>
      <c r="N26" s="165">
        <f t="shared" si="17"/>
        <v>180586.38104834093</v>
      </c>
      <c r="O26" s="165">
        <f t="shared" si="17"/>
        <v>176693.76623778118</v>
      </c>
      <c r="P26" s="165">
        <f t="shared" si="17"/>
        <v>174183.31655542899</v>
      </c>
      <c r="Q26" s="165">
        <f t="shared" si="17"/>
        <v>165215.87860522547</v>
      </c>
      <c r="R26" s="165">
        <f t="shared" si="17"/>
        <v>159629.34165772001</v>
      </c>
      <c r="S26" s="165">
        <f t="shared" si="17"/>
        <v>155559.23573389376</v>
      </c>
      <c r="T26" s="165">
        <f t="shared" si="17"/>
        <v>160277.51039308769</v>
      </c>
      <c r="U26" s="165">
        <f t="shared" si="17"/>
        <v>152438.39757481345</v>
      </c>
      <c r="V26" s="165">
        <f t="shared" si="17"/>
        <v>157362.10474090397</v>
      </c>
      <c r="W26" s="165">
        <f t="shared" si="17"/>
        <v>151980.56305632266</v>
      </c>
      <c r="X26" s="165">
        <f t="shared" si="17"/>
        <v>150448.16555507819</v>
      </c>
      <c r="Y26" s="165">
        <f t="shared" si="17"/>
        <v>152304.92939454014</v>
      </c>
      <c r="Z26" s="165">
        <f t="shared" si="17"/>
        <v>150641.4789837765</v>
      </c>
      <c r="AA26" s="165">
        <f t="shared" si="17"/>
        <v>154682.03767280487</v>
      </c>
      <c r="AB26" s="165">
        <f t="shared" si="17"/>
        <v>153852.80678059557</v>
      </c>
      <c r="AC26" s="165">
        <f t="shared" si="17"/>
        <v>161681.12466493333</v>
      </c>
      <c r="AD26" s="165">
        <f t="shared" si="17"/>
        <v>163803.82202437118</v>
      </c>
      <c r="AE26" s="165">
        <f t="shared" si="17"/>
        <v>165176.42155141421</v>
      </c>
      <c r="AF26" s="165">
        <f t="shared" ref="AF26:AG26" si="18">SUMIF(AF27:AF30,"&lt;1E+307")</f>
        <v>165380.61576785371</v>
      </c>
      <c r="AG26" s="165">
        <f t="shared" si="18"/>
        <v>164323.970069954</v>
      </c>
      <c r="AH26" s="165">
        <f t="shared" ref="AH26" si="19">SUMIF(AH27:AH30,"&lt;1E+307")</f>
        <v>146385.7426834981</v>
      </c>
      <c r="AI26" s="165">
        <f t="shared" ref="AI26" si="20">SUMIF(AI27:AI30,"&lt;1E+307")</f>
        <v>144599.0299664432</v>
      </c>
      <c r="AJ26" s="165">
        <f t="shared" ref="AJ26:AK26" si="21">SUMIF(AJ27:AJ30,"&lt;1E+307")</f>
        <v>147690.87538349463</v>
      </c>
      <c r="AK26" s="165">
        <f t="shared" si="21"/>
        <v>145131.15862852722</v>
      </c>
      <c r="AL26" s="165">
        <f t="shared" ref="AL26" si="22">SUMIF(AL27:AL30,"&lt;1E+307")</f>
        <v>143054.7682481537</v>
      </c>
    </row>
    <row r="27" spans="2:38" s="150" customFormat="1" ht="18.75" customHeight="1">
      <c r="B27" s="19" t="s">
        <v>4</v>
      </c>
      <c r="C27" s="159" t="s">
        <v>3</v>
      </c>
      <c r="D27" s="168">
        <f>SUM('CO2'!D27,'CH4'!D27,N2O!D27)</f>
        <v>2334.6458095547823</v>
      </c>
      <c r="E27" s="168">
        <f>SUM('CO2'!E27,'CH4'!E27,N2O!E27)</f>
        <v>2251.0227529915969</v>
      </c>
      <c r="F27" s="168">
        <f>SUM('CO2'!F27,'CH4'!F27,N2O!F27)</f>
        <v>2287.7074702453697</v>
      </c>
      <c r="G27" s="168">
        <f>SUM('CO2'!G27,'CH4'!G27,N2O!G27)</f>
        <v>2200.5114838881082</v>
      </c>
      <c r="H27" s="168">
        <f>SUM('CO2'!H27,'CH4'!H27,N2O!H27)</f>
        <v>2182.149631150668</v>
      </c>
      <c r="I27" s="168">
        <f>SUM('CO2'!I27,'CH4'!I27,N2O!I27)</f>
        <v>2289.6804032825362</v>
      </c>
      <c r="J27" s="168">
        <f>SUM('CO2'!J27,'CH4'!J27,N2O!J27)</f>
        <v>2204.5296362501331</v>
      </c>
      <c r="K27" s="168">
        <f>SUM('CO2'!K27,'CH4'!K27,N2O!K27)</f>
        <v>2315.9964398188463</v>
      </c>
      <c r="L27" s="168">
        <f>SUM('CO2'!L27,'CH4'!L27,N2O!L27)</f>
        <v>2327.2260609315003</v>
      </c>
      <c r="M27" s="168">
        <f>SUM('CO2'!M27,'CH4'!M27,N2O!M27)</f>
        <v>2369.5647600722036</v>
      </c>
      <c r="N27" s="168">
        <f>SUM('CO2'!N27,'CH4'!N27,N2O!N27)</f>
        <v>2492.4328577868509</v>
      </c>
      <c r="O27" s="168">
        <f>SUM('CO2'!O27,'CH4'!O27,N2O!O27)</f>
        <v>2408.6115141749788</v>
      </c>
      <c r="P27" s="168">
        <f>SUM('CO2'!P27,'CH4'!P27,N2O!P27)</f>
        <v>2297.5494897850012</v>
      </c>
      <c r="Q27" s="168">
        <f>SUM('CO2'!Q27,'CH4'!Q27,N2O!Q27)</f>
        <v>2284.5489312317713</v>
      </c>
      <c r="R27" s="168">
        <f>SUM('CO2'!R27,'CH4'!R27,N2O!R27)</f>
        <v>2256.0867435519854</v>
      </c>
      <c r="S27" s="168">
        <f>SUM('CO2'!S27,'CH4'!S27,N2O!S27)</f>
        <v>2282.3585300430059</v>
      </c>
      <c r="T27" s="168">
        <f>SUM('CO2'!T27,'CH4'!T27,N2O!T27)</f>
        <v>2336.1408007277187</v>
      </c>
      <c r="U27" s="168">
        <f>SUM('CO2'!U27,'CH4'!U27,N2O!U27)</f>
        <v>2405.8207427924867</v>
      </c>
      <c r="V27" s="168">
        <f>SUM('CO2'!V27,'CH4'!V27,N2O!V27)</f>
        <v>2430.2787016670086</v>
      </c>
      <c r="W27" s="168">
        <f>SUM('CO2'!W27,'CH4'!W27,N2O!W27)</f>
        <v>2282.6464874040116</v>
      </c>
      <c r="X27" s="168">
        <f>SUM('CO2'!X27,'CH4'!X27,N2O!X27)</f>
        <v>2270.4825423158459</v>
      </c>
      <c r="Y27" s="168">
        <f>SUM('CO2'!Y27,'CH4'!Y27,N2O!Y27)</f>
        <v>2293.046381291987</v>
      </c>
      <c r="Z27" s="168">
        <f>SUM('CO2'!Z27,'CH4'!Z27,N2O!Z27)</f>
        <v>2179.7128772971564</v>
      </c>
      <c r="AA27" s="168">
        <f>SUM('CO2'!AA27,'CH4'!AA27,N2O!AA27)</f>
        <v>1969.8778292144068</v>
      </c>
      <c r="AB27" s="168">
        <f>SUM('CO2'!AB27,'CH4'!AB27,N2O!AB27)</f>
        <v>1991.7205496418362</v>
      </c>
      <c r="AC27" s="168">
        <f>SUM('CO2'!AC27,'CH4'!AC27,N2O!AC27)</f>
        <v>2078.203113302704</v>
      </c>
      <c r="AD27" s="168">
        <f>SUM('CO2'!AD27,'CH4'!AD27,N2O!AD27)</f>
        <v>2085.2710513663596</v>
      </c>
      <c r="AE27" s="168">
        <f>SUM('CO2'!AE27,'CH4'!AE27,N2O!AE27)</f>
        <v>2022.2945128978358</v>
      </c>
      <c r="AF27" s="168">
        <f>SUM('CO2'!AF27,'CH4'!AF27,N2O!AF27)</f>
        <v>2014.5028144562125</v>
      </c>
      <c r="AG27" s="168">
        <f>SUM('CO2'!AG27,'CH4'!AG27,N2O!AG27)</f>
        <v>2075.8291371257951</v>
      </c>
      <c r="AH27" s="168">
        <f>SUM('CO2'!AH27,'CH4'!AH27,N2O!AH27)</f>
        <v>930.1053618403447</v>
      </c>
      <c r="AI27" s="168">
        <f>SUM('CO2'!AI27,'CH4'!AI27,N2O!AI27)</f>
        <v>717.97981683465207</v>
      </c>
      <c r="AJ27" s="168">
        <f>SUM('CO2'!AJ27,'CH4'!AJ27,N2O!AJ27)</f>
        <v>1042.5364836652657</v>
      </c>
      <c r="AK27" s="168">
        <f>SUM('CO2'!AK27,'CH4'!AK27,N2O!AK27)</f>
        <v>1093.6396107909786</v>
      </c>
      <c r="AL27" s="168">
        <f>SUM('CO2'!AL27,'CH4'!AL27,N2O!AL27)</f>
        <v>1104.2699646105932</v>
      </c>
    </row>
    <row r="28" spans="2:38" s="150" customFormat="1" ht="18.75" customHeight="1">
      <c r="B28" s="90" t="s">
        <v>5</v>
      </c>
      <c r="C28" s="160" t="s">
        <v>3</v>
      </c>
      <c r="D28" s="167">
        <f>SUM('CO2'!D28,'CH4'!D28,N2O!D28)</f>
        <v>154826.0022945274</v>
      </c>
      <c r="E28" s="167">
        <f>SUM('CO2'!E28,'CH4'!E28,N2O!E28)</f>
        <v>158316.31965653133</v>
      </c>
      <c r="F28" s="167">
        <f>SUM('CO2'!F28,'CH4'!F28,N2O!F28)</f>
        <v>164135.19718825931</v>
      </c>
      <c r="G28" s="167">
        <f>SUM('CO2'!G28,'CH4'!G28,N2O!G28)</f>
        <v>168575.05700152231</v>
      </c>
      <c r="H28" s="167">
        <f>SUM('CO2'!H28,'CH4'!H28,N2O!H28)</f>
        <v>164810.80102315915</v>
      </c>
      <c r="I28" s="167">
        <f>SUM('CO2'!I28,'CH4'!I28,N2O!I28)</f>
        <v>168900.64111783175</v>
      </c>
      <c r="J28" s="167">
        <f>SUM('CO2'!J28,'CH4'!J28,N2O!J28)</f>
        <v>168872.20827365923</v>
      </c>
      <c r="K28" s="167">
        <f>SUM('CO2'!K28,'CH4'!K28,N2O!K28)</f>
        <v>169686.9122396649</v>
      </c>
      <c r="L28" s="167">
        <f>SUM('CO2'!L28,'CH4'!L28,N2O!L28)</f>
        <v>173052.77416104521</v>
      </c>
      <c r="M28" s="167">
        <f>SUM('CO2'!M28,'CH4'!M28,N2O!M28)</f>
        <v>178494.68840632911</v>
      </c>
      <c r="N28" s="167">
        <f>SUM('CO2'!N28,'CH4'!N28,N2O!N28)</f>
        <v>174498.77886732304</v>
      </c>
      <c r="O28" s="167">
        <f>SUM('CO2'!O28,'CH4'!O28,N2O!O28)</f>
        <v>170866.00156523654</v>
      </c>
      <c r="P28" s="167">
        <f>SUM('CO2'!P28,'CH4'!P28,N2O!P28)</f>
        <v>168671.77420256491</v>
      </c>
      <c r="Q28" s="167">
        <f>SUM('CO2'!Q28,'CH4'!Q28,N2O!Q28)</f>
        <v>159404.95202145114</v>
      </c>
      <c r="R28" s="167">
        <f>SUM('CO2'!R28,'CH4'!R28,N2O!R28)</f>
        <v>153825.64568599957</v>
      </c>
      <c r="S28" s="167">
        <f>SUM('CO2'!S28,'CH4'!S28,N2O!S28)</f>
        <v>149711.00326000332</v>
      </c>
      <c r="T28" s="167">
        <f>SUM('CO2'!T28,'CH4'!T28,N2O!T28)</f>
        <v>154505.01173733725</v>
      </c>
      <c r="U28" s="167">
        <f>SUM('CO2'!U28,'CH4'!U28,N2O!U28)</f>
        <v>146839.01191288279</v>
      </c>
      <c r="V28" s="167">
        <f>SUM('CO2'!V28,'CH4'!V28,N2O!V28)</f>
        <v>151545.94182854594</v>
      </c>
      <c r="W28" s="167">
        <f>SUM('CO2'!W28,'CH4'!W28,N2O!W28)</f>
        <v>146792.11943997015</v>
      </c>
      <c r="X28" s="167">
        <f>SUM('CO2'!X28,'CH4'!X28,N2O!X28)</f>
        <v>145103.25787212473</v>
      </c>
      <c r="Y28" s="167">
        <f>SUM('CO2'!Y28,'CH4'!Y28,N2O!Y28)</f>
        <v>147060.05973145904</v>
      </c>
      <c r="Z28" s="167">
        <f>SUM('CO2'!Z28,'CH4'!Z28,N2O!Z28)</f>
        <v>145545.83890125153</v>
      </c>
      <c r="AA28" s="167">
        <f>SUM('CO2'!AA28,'CH4'!AA28,N2O!AA28)</f>
        <v>149781.91436468117</v>
      </c>
      <c r="AB28" s="167">
        <f>SUM('CO2'!AB28,'CH4'!AB28,N2O!AB28)</f>
        <v>149012.88148516158</v>
      </c>
      <c r="AC28" s="167">
        <f>SUM('CO2'!AC28,'CH4'!AC28,N2O!AC28)</f>
        <v>156693.66533810852</v>
      </c>
      <c r="AD28" s="167">
        <f>SUM('CO2'!AD28,'CH4'!AD28,N2O!AD28)</f>
        <v>158851.60097435507</v>
      </c>
      <c r="AE28" s="167">
        <f>SUM('CO2'!AE28,'CH4'!AE28,N2O!AE28)</f>
        <v>160464.64090525109</v>
      </c>
      <c r="AF28" s="167">
        <f>SUM('CO2'!AF28,'CH4'!AF28,N2O!AF28)</f>
        <v>160765.96773031517</v>
      </c>
      <c r="AG28" s="167">
        <f>SUM('CO2'!AG28,'CH4'!AG28,N2O!AG28)</f>
        <v>159549.92271464161</v>
      </c>
      <c r="AH28" s="167">
        <f>SUM('CO2'!AH28,'CH4'!AH28,N2O!AH28)</f>
        <v>142885.27469920745</v>
      </c>
      <c r="AI28" s="167">
        <f>SUM('CO2'!AI28,'CH4'!AI28,N2O!AI28)</f>
        <v>141425.32318791156</v>
      </c>
      <c r="AJ28" s="167">
        <f>SUM('CO2'!AJ28,'CH4'!AJ28,N2O!AJ28)</f>
        <v>144479.32666318232</v>
      </c>
      <c r="AK28" s="167">
        <f>SUM('CO2'!AK28,'CH4'!AK28,N2O!AK28)</f>
        <v>141862.57679252629</v>
      </c>
      <c r="AL28" s="167">
        <f>SUM('CO2'!AL28,'CH4'!AL28,N2O!AL28)</f>
        <v>139760.17351949846</v>
      </c>
    </row>
    <row r="29" spans="2:38" s="150" customFormat="1" ht="18.75" customHeight="1">
      <c r="B29" s="19" t="s">
        <v>6</v>
      </c>
      <c r="C29" s="159" t="s">
        <v>3</v>
      </c>
      <c r="D29" s="168">
        <f>SUM('CO2'!D29,'CH4'!D29,N2O!D29)</f>
        <v>3159.6208589756634</v>
      </c>
      <c r="E29" s="168">
        <f>SUM('CO2'!E29,'CH4'!E29,N2O!E29)</f>
        <v>2818.2699280004585</v>
      </c>
      <c r="F29" s="168">
        <f>SUM('CO2'!F29,'CH4'!F29,N2O!F29)</f>
        <v>2766.0065034907893</v>
      </c>
      <c r="G29" s="168">
        <f>SUM('CO2'!G29,'CH4'!G29,N2O!G29)</f>
        <v>2753.6242915548191</v>
      </c>
      <c r="H29" s="168">
        <f>SUM('CO2'!H29,'CH4'!H29,N2O!H29)</f>
        <v>2560.9839761531894</v>
      </c>
      <c r="I29" s="168">
        <f>SUM('CO2'!I29,'CH4'!I29,N2O!I29)</f>
        <v>2476.8837435176956</v>
      </c>
      <c r="J29" s="168">
        <f>SUM('CO2'!J29,'CH4'!J29,N2O!J29)</f>
        <v>2354.2166802020497</v>
      </c>
      <c r="K29" s="168">
        <f>SUM('CO2'!K29,'CH4'!K29,N2O!K29)</f>
        <v>2172.8591615445243</v>
      </c>
      <c r="L29" s="168">
        <f>SUM('CO2'!L29,'CH4'!L29,N2O!L29)</f>
        <v>2050.8923741277176</v>
      </c>
      <c r="M29" s="168">
        <f>SUM('CO2'!M29,'CH4'!M29,N2O!M29)</f>
        <v>1937.9335081194597</v>
      </c>
      <c r="N29" s="168">
        <f>SUM('CO2'!N29,'CH4'!N29,N2O!N29)</f>
        <v>1953.9274894846119</v>
      </c>
      <c r="O29" s="168">
        <f>SUM('CO2'!O29,'CH4'!O29,N2O!O29)</f>
        <v>1790.9116682235447</v>
      </c>
      <c r="P29" s="168">
        <f>SUM('CO2'!P29,'CH4'!P29,N2O!P29)</f>
        <v>1658.8441812864346</v>
      </c>
      <c r="Q29" s="168">
        <f>SUM('CO2'!Q29,'CH4'!Q29,N2O!Q29)</f>
        <v>1627.7466938211421</v>
      </c>
      <c r="R29" s="168">
        <f>SUM('CO2'!R29,'CH4'!R29,N2O!R29)</f>
        <v>1537.6039912405004</v>
      </c>
      <c r="S29" s="168">
        <f>SUM('CO2'!S29,'CH4'!S29,N2O!S29)</f>
        <v>1429.6973196908996</v>
      </c>
      <c r="T29" s="168">
        <f>SUM('CO2'!T29,'CH4'!T29,N2O!T29)</f>
        <v>1292.1468155329515</v>
      </c>
      <c r="U29" s="168">
        <f>SUM('CO2'!U29,'CH4'!U29,N2O!U29)</f>
        <v>1249.213410625013</v>
      </c>
      <c r="V29" s="168">
        <f>SUM('CO2'!V29,'CH4'!V29,N2O!V29)</f>
        <v>1216.2410518594565</v>
      </c>
      <c r="W29" s="168">
        <f>SUM('CO2'!W29,'CH4'!W29,N2O!W29)</f>
        <v>1099.9605451539824</v>
      </c>
      <c r="X29" s="168">
        <f>SUM('CO2'!X29,'CH4'!X29,N2O!X29)</f>
        <v>1120.8457538602013</v>
      </c>
      <c r="Y29" s="168">
        <f>SUM('CO2'!Y29,'CH4'!Y29,N2O!Y29)</f>
        <v>1132.1541069682892</v>
      </c>
      <c r="Z29" s="168">
        <f>SUM('CO2'!Z29,'CH4'!Z29,N2O!Z29)</f>
        <v>1042.2381377744023</v>
      </c>
      <c r="AA29" s="168">
        <f>SUM('CO2'!AA29,'CH4'!AA29,N2O!AA29)</f>
        <v>1060.1616632470584</v>
      </c>
      <c r="AB29" s="168">
        <f>SUM('CO2'!AB29,'CH4'!AB29,N2O!AB29)</f>
        <v>948.46245243745875</v>
      </c>
      <c r="AC29" s="168">
        <f>SUM('CO2'!AC29,'CH4'!AC29,N2O!AC29)</f>
        <v>1024.5171164134708</v>
      </c>
      <c r="AD29" s="168">
        <f>SUM('CO2'!AD29,'CH4'!AD29,N2O!AD29)</f>
        <v>1059.3065302001867</v>
      </c>
      <c r="AE29" s="168">
        <f>SUM('CO2'!AE29,'CH4'!AE29,N2O!AE29)</f>
        <v>878.83699850188748</v>
      </c>
      <c r="AF29" s="168">
        <f>SUM('CO2'!AF29,'CH4'!AF29,N2O!AF29)</f>
        <v>735.84142679479635</v>
      </c>
      <c r="AG29" s="168">
        <f>SUM('CO2'!AG29,'CH4'!AG29,N2O!AG29)</f>
        <v>834.12805696767282</v>
      </c>
      <c r="AH29" s="168">
        <f>SUM('CO2'!AH29,'CH4'!AH29,N2O!AH29)</f>
        <v>832.57718677161188</v>
      </c>
      <c r="AI29" s="168">
        <f>SUM('CO2'!AI29,'CH4'!AI29,N2O!AI29)</f>
        <v>855.54028364683063</v>
      </c>
      <c r="AJ29" s="168">
        <f>SUM('CO2'!AJ29,'CH4'!AJ29,N2O!AJ29)</f>
        <v>811.70141393921313</v>
      </c>
      <c r="AK29" s="168">
        <f>SUM('CO2'!AK29,'CH4'!AK29,N2O!AK29)</f>
        <v>778.79979520654911</v>
      </c>
      <c r="AL29" s="168">
        <f>SUM('CO2'!AL29,'CH4'!AL29,N2O!AL29)</f>
        <v>757.45792612391472</v>
      </c>
    </row>
    <row r="30" spans="2:38" s="150" customFormat="1" ht="18.75" customHeight="1">
      <c r="B30" s="90" t="s">
        <v>7</v>
      </c>
      <c r="C30" s="160" t="s">
        <v>3</v>
      </c>
      <c r="D30" s="167">
        <f>SUM('CO2'!D30,'CH4'!D30,N2O!D30)</f>
        <v>3035.0976026165422</v>
      </c>
      <c r="E30" s="167">
        <f>SUM('CO2'!E30,'CH4'!E30,N2O!E30)</f>
        <v>2917.6230767437232</v>
      </c>
      <c r="F30" s="167">
        <f>SUM('CO2'!F30,'CH4'!F30,N2O!F30)</f>
        <v>2979.0198202231304</v>
      </c>
      <c r="G30" s="167">
        <f>SUM('CO2'!G30,'CH4'!G30,N2O!G30)</f>
        <v>2963.6687538402266</v>
      </c>
      <c r="H30" s="167">
        <f>SUM('CO2'!H30,'CH4'!H30,N2O!H30)</f>
        <v>2909.2834091717123</v>
      </c>
      <c r="I30" s="167">
        <f>SUM('CO2'!I30,'CH4'!I30,N2O!I30)</f>
        <v>2455.2705510083815</v>
      </c>
      <c r="J30" s="167">
        <f>SUM('CO2'!J30,'CH4'!J30,N2O!J30)</f>
        <v>2275.4225998904753</v>
      </c>
      <c r="K30" s="167">
        <f>SUM('CO2'!K30,'CH4'!K30,N2O!K30)</f>
        <v>1945.1644037406666</v>
      </c>
      <c r="L30" s="167">
        <f>SUM('CO2'!L30,'CH4'!L30,N2O!L30)</f>
        <v>1965.6389618473024</v>
      </c>
      <c r="M30" s="167">
        <f>SUM('CO2'!M30,'CH4'!M30,N2O!M30)</f>
        <v>1727.4748020807867</v>
      </c>
      <c r="N30" s="167">
        <f>SUM('CO2'!N30,'CH4'!N30,N2O!N30)</f>
        <v>1641.2418337464424</v>
      </c>
      <c r="O30" s="167">
        <f>SUM('CO2'!O30,'CH4'!O30,N2O!O30)</f>
        <v>1628.24149014612</v>
      </c>
      <c r="P30" s="167">
        <f>SUM('CO2'!P30,'CH4'!P30,N2O!P30)</f>
        <v>1555.14868179264</v>
      </c>
      <c r="Q30" s="167">
        <f>SUM('CO2'!Q30,'CH4'!Q30,N2O!Q30)</f>
        <v>1898.6309587214068</v>
      </c>
      <c r="R30" s="167">
        <f>SUM('CO2'!R30,'CH4'!R30,N2O!R30)</f>
        <v>2010.0052369279663</v>
      </c>
      <c r="S30" s="167">
        <f>SUM('CO2'!S30,'CH4'!S30,N2O!S30)</f>
        <v>2136.1766241565288</v>
      </c>
      <c r="T30" s="167">
        <f>SUM('CO2'!T30,'CH4'!T30,N2O!T30)</f>
        <v>2144.2110394897677</v>
      </c>
      <c r="U30" s="167">
        <f>SUM('CO2'!U30,'CH4'!U30,N2O!U30)</f>
        <v>1944.3515085131887</v>
      </c>
      <c r="V30" s="167">
        <f>SUM('CO2'!V30,'CH4'!V30,N2O!V30)</f>
        <v>2169.6431588315886</v>
      </c>
      <c r="W30" s="167">
        <f>SUM('CO2'!W30,'CH4'!W30,N2O!W30)</f>
        <v>1805.836583794528</v>
      </c>
      <c r="X30" s="167">
        <f>SUM('CO2'!X30,'CH4'!X30,N2O!X30)</f>
        <v>1953.5793867774062</v>
      </c>
      <c r="Y30" s="167">
        <f>SUM('CO2'!Y30,'CH4'!Y30,N2O!Y30)</f>
        <v>1819.6691748208161</v>
      </c>
      <c r="Z30" s="167">
        <f>SUM('CO2'!Z30,'CH4'!Z30,N2O!Z30)</f>
        <v>1873.6890674534059</v>
      </c>
      <c r="AA30" s="167">
        <f>SUM('CO2'!AA30,'CH4'!AA30,N2O!AA30)</f>
        <v>1870.0838156622215</v>
      </c>
      <c r="AB30" s="167">
        <f>SUM('CO2'!AB30,'CH4'!AB30,N2O!AB30)</f>
        <v>1899.7422933546861</v>
      </c>
      <c r="AC30" s="167">
        <f>SUM('CO2'!AC30,'CH4'!AC30,N2O!AC30)</f>
        <v>1884.7390971086381</v>
      </c>
      <c r="AD30" s="167">
        <f>SUM('CO2'!AD30,'CH4'!AD30,N2O!AD30)</f>
        <v>1807.6434684495771</v>
      </c>
      <c r="AE30" s="167">
        <f>SUM('CO2'!AE30,'CH4'!AE30,N2O!AE30)</f>
        <v>1810.6491347633898</v>
      </c>
      <c r="AF30" s="167">
        <f>SUM('CO2'!AF30,'CH4'!AF30,N2O!AF30)</f>
        <v>1864.3037962875396</v>
      </c>
      <c r="AG30" s="167">
        <f>SUM('CO2'!AG30,'CH4'!AG30,N2O!AG30)</f>
        <v>1864.0901612189325</v>
      </c>
      <c r="AH30" s="167">
        <f>SUM('CO2'!AH30,'CH4'!AH30,N2O!AH30)</f>
        <v>1737.7854356787086</v>
      </c>
      <c r="AI30" s="167">
        <f>SUM('CO2'!AI30,'CH4'!AI30,N2O!AI30)</f>
        <v>1600.1866780501407</v>
      </c>
      <c r="AJ30" s="167">
        <f>SUM('CO2'!AJ30,'CH4'!AJ30,N2O!AJ30)</f>
        <v>1357.3108227078449</v>
      </c>
      <c r="AK30" s="167">
        <f>SUM('CO2'!AK30,'CH4'!AK30,N2O!AK30)</f>
        <v>1396.142430003403</v>
      </c>
      <c r="AL30" s="167">
        <f>SUM('CO2'!AL30,'CH4'!AL30,N2O!AL30)</f>
        <v>1432.8668379207065</v>
      </c>
    </row>
    <row r="31" spans="2:38" s="150" customFormat="1" ht="18.75" customHeight="1">
      <c r="B31" s="19"/>
      <c r="C31" s="159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</row>
    <row r="32" spans="2:38" s="10" customFormat="1" ht="18.75" customHeight="1">
      <c r="B32" s="153" t="s">
        <v>15</v>
      </c>
      <c r="C32" s="22" t="s">
        <v>3</v>
      </c>
      <c r="D32" s="165">
        <f>SUMIF(D33:D40,"&lt;1E+307")</f>
        <v>84989.15915719539</v>
      </c>
      <c r="E32" s="165">
        <f t="shared" ref="E32:AG32" si="23">SUMIF(E33:E40,"&lt;1E+307")</f>
        <v>76414.722910866025</v>
      </c>
      <c r="F32" s="165">
        <f t="shared" si="23"/>
        <v>74196.456761875001</v>
      </c>
      <c r="G32" s="165">
        <f t="shared" si="23"/>
        <v>73737.009260326158</v>
      </c>
      <c r="H32" s="165">
        <f t="shared" si="23"/>
        <v>73708.352552295226</v>
      </c>
      <c r="I32" s="165">
        <f t="shared" si="23"/>
        <v>74070.770312600871</v>
      </c>
      <c r="J32" s="165">
        <f t="shared" si="23"/>
        <v>75722.874919217706</v>
      </c>
      <c r="K32" s="165">
        <f t="shared" si="23"/>
        <v>73354.393818033932</v>
      </c>
      <c r="L32" s="165">
        <f t="shared" si="23"/>
        <v>72729.918002482591</v>
      </c>
      <c r="M32" s="165">
        <f t="shared" si="23"/>
        <v>73343.904073951344</v>
      </c>
      <c r="N32" s="165">
        <f t="shared" si="23"/>
        <v>71957.098586081309</v>
      </c>
      <c r="O32" s="165">
        <f t="shared" si="23"/>
        <v>72672.20810007074</v>
      </c>
      <c r="P32" s="165">
        <f t="shared" si="23"/>
        <v>70326.87522255833</v>
      </c>
      <c r="Q32" s="165">
        <f t="shared" si="23"/>
        <v>69935.715178059589</v>
      </c>
      <c r="R32" s="165">
        <f t="shared" si="23"/>
        <v>68241.325940250012</v>
      </c>
      <c r="S32" s="165">
        <f t="shared" si="23"/>
        <v>68042.400412697782</v>
      </c>
      <c r="T32" s="165">
        <f t="shared" si="23"/>
        <v>67427.155463717369</v>
      </c>
      <c r="U32" s="165">
        <f t="shared" si="23"/>
        <v>67137.703039660439</v>
      </c>
      <c r="V32" s="165">
        <f t="shared" si="23"/>
        <v>67986.800413934572</v>
      </c>
      <c r="W32" s="165">
        <f t="shared" si="23"/>
        <v>67802.20895914665</v>
      </c>
      <c r="X32" s="165">
        <f t="shared" si="23"/>
        <v>67979.732572680106</v>
      </c>
      <c r="Y32" s="165">
        <f t="shared" si="23"/>
        <v>68557.85111347257</v>
      </c>
      <c r="Z32" s="165">
        <f t="shared" si="23"/>
        <v>68774.308158249798</v>
      </c>
      <c r="AA32" s="165">
        <f t="shared" si="23"/>
        <v>69757.923386340757</v>
      </c>
      <c r="AB32" s="165">
        <f t="shared" si="23"/>
        <v>71330.205942200613</v>
      </c>
      <c r="AC32" s="165">
        <f t="shared" si="23"/>
        <v>71121.936723247854</v>
      </c>
      <c r="AD32" s="165">
        <f t="shared" si="23"/>
        <v>70907.819051021434</v>
      </c>
      <c r="AE32" s="165">
        <f t="shared" si="23"/>
        <v>69315.035291692286</v>
      </c>
      <c r="AF32" s="165">
        <f t="shared" si="23"/>
        <v>68419.82206431136</v>
      </c>
      <c r="AG32" s="165">
        <f t="shared" si="23"/>
        <v>67220.276792805205</v>
      </c>
      <c r="AH32" s="165">
        <f t="shared" ref="AH32" si="24">SUMIF(AH33:AH40,"&lt;1E+307")</f>
        <v>66374.140111942717</v>
      </c>
      <c r="AI32" s="165">
        <f t="shared" ref="AI32" si="25">SUMIF(AI33:AI40,"&lt;1E+307")</f>
        <v>64911.07948409106</v>
      </c>
      <c r="AJ32" s="165">
        <f t="shared" ref="AJ32:AK32" si="26">SUMIF(AJ33:AJ40,"&lt;1E+307")</f>
        <v>63902.022380878967</v>
      </c>
      <c r="AK32" s="165">
        <f t="shared" si="26"/>
        <v>62959.986688698205</v>
      </c>
      <c r="AL32" s="165">
        <f t="shared" ref="AL32" si="27">SUMIF(AL33:AL40,"&lt;1E+307")</f>
        <v>62110.993623271766</v>
      </c>
    </row>
    <row r="33" spans="2:38" s="150" customFormat="1" ht="18.75" customHeight="1">
      <c r="B33" s="19" t="s">
        <v>18</v>
      </c>
      <c r="C33" s="159" t="s">
        <v>3</v>
      </c>
      <c r="D33" s="168">
        <f>SUM('CO2'!D33,'CH4'!D33,N2O!D33)</f>
        <v>11698.809311507386</v>
      </c>
      <c r="E33" s="168">
        <f>SUM('CO2'!E33,'CH4'!E33,N2O!E33)</f>
        <v>9900.8482775322573</v>
      </c>
      <c r="F33" s="168">
        <f>SUM('CO2'!F33,'CH4'!F33,N2O!F33)</f>
        <v>9321.8158571339336</v>
      </c>
      <c r="G33" s="168">
        <f>SUM('CO2'!G33,'CH4'!G33,N2O!G33)</f>
        <v>9748.0762005030665</v>
      </c>
      <c r="H33" s="168">
        <f>SUM('CO2'!H33,'CH4'!H33,N2O!H33)</f>
        <v>9695.9756102560077</v>
      </c>
      <c r="I33" s="168">
        <f>SUM('CO2'!I33,'CH4'!I33,N2O!I33)</f>
        <v>9964.9103522289843</v>
      </c>
      <c r="J33" s="168">
        <f>SUM('CO2'!J33,'CH4'!J33,N2O!J33)</f>
        <v>11025.30694356839</v>
      </c>
      <c r="K33" s="168">
        <f>SUM('CO2'!K33,'CH4'!K33,N2O!K33)</f>
        <v>9846.3384282959123</v>
      </c>
      <c r="L33" s="168">
        <f>SUM('CO2'!L33,'CH4'!L33,N2O!L33)</f>
        <v>9328.6352005180452</v>
      </c>
      <c r="M33" s="168">
        <f>SUM('CO2'!M33,'CH4'!M33,N2O!M33)</f>
        <v>9437.4434289737728</v>
      </c>
      <c r="N33" s="168">
        <f>SUM('CO2'!N33,'CH4'!N33,N2O!N33)</f>
        <v>8559.4183276044896</v>
      </c>
      <c r="O33" s="168">
        <f>SUM('CO2'!O33,'CH4'!O33,N2O!O33)</f>
        <v>8800.2516675458337</v>
      </c>
      <c r="P33" s="168">
        <f>SUM('CO2'!P33,'CH4'!P33,N2O!P33)</f>
        <v>8491.218785148083</v>
      </c>
      <c r="Q33" s="168">
        <f>SUM('CO2'!Q33,'CH4'!Q33,N2O!Q33)</f>
        <v>8124.0681355084926</v>
      </c>
      <c r="R33" s="168">
        <f>SUM('CO2'!R33,'CH4'!R33,N2O!R33)</f>
        <v>7892.6122229417497</v>
      </c>
      <c r="S33" s="168">
        <f>SUM('CO2'!S33,'CH4'!S33,N2O!S33)</f>
        <v>7639.0273009245921</v>
      </c>
      <c r="T33" s="168">
        <f>SUM('CO2'!T33,'CH4'!T33,N2O!T33)</f>
        <v>7964.6566945122831</v>
      </c>
      <c r="U33" s="168">
        <f>SUM('CO2'!U33,'CH4'!U33,N2O!U33)</f>
        <v>7267.6105306044929</v>
      </c>
      <c r="V33" s="168">
        <f>SUM('CO2'!V33,'CH4'!V33,N2O!V33)</f>
        <v>7752.6592954101552</v>
      </c>
      <c r="W33" s="168">
        <f>SUM('CO2'!W33,'CH4'!W33,N2O!W33)</f>
        <v>7280.1703646495507</v>
      </c>
      <c r="X33" s="168">
        <f>SUM('CO2'!X33,'CH4'!X33,N2O!X33)</f>
        <v>7794.5635406249485</v>
      </c>
      <c r="Y33" s="168">
        <f>SUM('CO2'!Y33,'CH4'!Y33,N2O!Y33)</f>
        <v>8327.8571158537707</v>
      </c>
      <c r="Z33" s="168">
        <f>SUM('CO2'!Z33,'CH4'!Z33,N2O!Z33)</f>
        <v>7960.0537252762288</v>
      </c>
      <c r="AA33" s="168">
        <f>SUM('CO2'!AA33,'CH4'!AA33,N2O!AA33)</f>
        <v>8023.3398522928837</v>
      </c>
      <c r="AB33" s="168">
        <f>SUM('CO2'!AB33,'CH4'!AB33,N2O!AB33)</f>
        <v>8544.7179955571155</v>
      </c>
      <c r="AC33" s="168">
        <f>SUM('CO2'!AC33,'CH4'!AC33,N2O!AC33)</f>
        <v>8313.2974494333102</v>
      </c>
      <c r="AD33" s="168">
        <f>SUM('CO2'!AD33,'CH4'!AD33,N2O!AD33)</f>
        <v>8441.4402182532849</v>
      </c>
      <c r="AE33" s="168">
        <f>SUM('CO2'!AE33,'CH4'!AE33,N2O!AE33)</f>
        <v>7884.3264346500619</v>
      </c>
      <c r="AF33" s="168">
        <f>SUM('CO2'!AF33,'CH4'!AF33,N2O!AF33)</f>
        <v>7917.9379279530758</v>
      </c>
      <c r="AG33" s="168">
        <f>SUM('CO2'!AG33,'CH4'!AG33,N2O!AG33)</f>
        <v>7850.3752001666444</v>
      </c>
      <c r="AH33" s="168">
        <f>SUM('CO2'!AH33,'CH4'!AH33,N2O!AH33)</f>
        <v>8123.9666700996286</v>
      </c>
      <c r="AI33" s="168">
        <f>SUM('CO2'!AI33,'CH4'!AI33,N2O!AI33)</f>
        <v>8393.7430342932676</v>
      </c>
      <c r="AJ33" s="168">
        <f>SUM('CO2'!AJ33,'CH4'!AJ33,N2O!AJ33)</f>
        <v>8247.5894513532694</v>
      </c>
      <c r="AK33" s="168">
        <f>SUM('CO2'!AK33,'CH4'!AK33,N2O!AK33)</f>
        <v>8167.8880628319575</v>
      </c>
      <c r="AL33" s="168">
        <f>SUM('CO2'!AL33,'CH4'!AL33,N2O!AL33)</f>
        <v>8435.4881511445437</v>
      </c>
    </row>
    <row r="34" spans="2:38" s="150" customFormat="1" ht="18.75" customHeight="1">
      <c r="B34" s="90" t="s">
        <v>30</v>
      </c>
      <c r="C34" s="160" t="s">
        <v>3</v>
      </c>
      <c r="D34" s="167">
        <f>SUM('CH4'!D34)</f>
        <v>37303.914802847081</v>
      </c>
      <c r="E34" s="167">
        <f>SUM('CH4'!E34)</f>
        <v>33328.260531744461</v>
      </c>
      <c r="F34" s="167">
        <f>SUM('CH4'!F34)</f>
        <v>32538.245783668699</v>
      </c>
      <c r="G34" s="167">
        <f>SUM('CH4'!G34)</f>
        <v>32621.602637011169</v>
      </c>
      <c r="H34" s="167">
        <f>SUM('CH4'!H34)</f>
        <v>32828.005957647722</v>
      </c>
      <c r="I34" s="167">
        <f>SUM('CH4'!I34)</f>
        <v>32927.885289260135</v>
      </c>
      <c r="J34" s="167">
        <f>SUM('CH4'!J34)</f>
        <v>32980.732675817875</v>
      </c>
      <c r="K34" s="167">
        <f>SUM('CH4'!K34)</f>
        <v>32019.170685648467</v>
      </c>
      <c r="L34" s="167">
        <f>SUM('CH4'!L34)</f>
        <v>31795.772415043306</v>
      </c>
      <c r="M34" s="167">
        <f>SUM('CH4'!M34)</f>
        <v>31532.817306550445</v>
      </c>
      <c r="N34" s="167">
        <f>SUM('CH4'!N34)</f>
        <v>31026.263074050479</v>
      </c>
      <c r="O34" s="167">
        <f>SUM('CH4'!O34)</f>
        <v>31506.855002072763</v>
      </c>
      <c r="P34" s="167">
        <f>SUM('CH4'!P34)</f>
        <v>30295.985731345198</v>
      </c>
      <c r="Q34" s="167">
        <f>SUM('CH4'!Q34)</f>
        <v>29938.653577526013</v>
      </c>
      <c r="R34" s="167">
        <f>SUM('CH4'!R34)</f>
        <v>29120.161712349742</v>
      </c>
      <c r="S34" s="167">
        <f>SUM('CH4'!S34)</f>
        <v>28923.591925626457</v>
      </c>
      <c r="T34" s="167">
        <f>SUM('CH4'!T34)</f>
        <v>28357.040568186203</v>
      </c>
      <c r="U34" s="167">
        <f>SUM('CH4'!U34)</f>
        <v>28475.368800870569</v>
      </c>
      <c r="V34" s="167">
        <f>SUM('CH4'!V34)</f>
        <v>28705.273903710211</v>
      </c>
      <c r="W34" s="167">
        <f>SUM('CH4'!W34)</f>
        <v>28713.935380398449</v>
      </c>
      <c r="X34" s="167">
        <f>SUM('CH4'!X34)</f>
        <v>28532.471207403931</v>
      </c>
      <c r="Y34" s="167">
        <f>SUM('CH4'!Y34)</f>
        <v>28155.945314903871</v>
      </c>
      <c r="Z34" s="167">
        <f>SUM('CH4'!Z34)</f>
        <v>28163.273131963608</v>
      </c>
      <c r="AA34" s="167">
        <f>SUM('CH4'!AA34)</f>
        <v>28507.578627677041</v>
      </c>
      <c r="AB34" s="167">
        <f>SUM('CH4'!AB34)</f>
        <v>28742.703133701893</v>
      </c>
      <c r="AC34" s="167">
        <f>SUM('CH4'!AC34)</f>
        <v>28721.441281620329</v>
      </c>
      <c r="AD34" s="167">
        <f>SUM('CH4'!AD34)</f>
        <v>28434.003751455799</v>
      </c>
      <c r="AE34" s="167">
        <f>SUM('CH4'!AE34)</f>
        <v>28215.544219039035</v>
      </c>
      <c r="AF34" s="167">
        <f>SUM('CH4'!AF34)</f>
        <v>27790.150005689931</v>
      </c>
      <c r="AG34" s="167">
        <f>SUM('CH4'!AG34)</f>
        <v>27476.871225137456</v>
      </c>
      <c r="AH34" s="167">
        <f>SUM('CH4'!AH34)</f>
        <v>27062.517695443501</v>
      </c>
      <c r="AI34" s="167">
        <f>SUM('CH4'!AI34)</f>
        <v>26548.185404291231</v>
      </c>
      <c r="AJ34" s="167">
        <f>SUM('CH4'!AJ34)</f>
        <v>26305.697604082899</v>
      </c>
      <c r="AK34" s="167">
        <f>SUM('CH4'!AK34)</f>
        <v>26179.433515408502</v>
      </c>
      <c r="AL34" s="167">
        <f>SUM('CH4'!AL34)</f>
        <v>25421.809326975046</v>
      </c>
    </row>
    <row r="35" spans="2:38" s="150" customFormat="1" ht="18.75" customHeight="1">
      <c r="B35" s="19" t="s">
        <v>31</v>
      </c>
      <c r="C35" s="159" t="s">
        <v>3</v>
      </c>
      <c r="D35" s="168">
        <f>SUM('CH4'!D35,N2O!D35)</f>
        <v>12978.107063593963</v>
      </c>
      <c r="E35" s="168">
        <f>SUM('CH4'!E35,N2O!E35)</f>
        <v>11591.738906865039</v>
      </c>
      <c r="F35" s="168">
        <f>SUM('CH4'!F35,N2O!F35)</f>
        <v>11608.701977562438</v>
      </c>
      <c r="G35" s="168">
        <f>SUM('CH4'!G35,N2O!G35)</f>
        <v>11683.556722312182</v>
      </c>
      <c r="H35" s="168">
        <f>SUM('CH4'!H35,N2O!H35)</f>
        <v>11704.554837092008</v>
      </c>
      <c r="I35" s="168">
        <f>SUM('CH4'!I35,N2O!I35)</f>
        <v>11723.329225377973</v>
      </c>
      <c r="J35" s="168">
        <f>SUM('CH4'!J35,N2O!J35)</f>
        <v>11847.248260899683</v>
      </c>
      <c r="K35" s="168">
        <f>SUM('CH4'!K35,N2O!K35)</f>
        <v>11651.063285538494</v>
      </c>
      <c r="L35" s="168">
        <f>SUM('CH4'!L35,N2O!L35)</f>
        <v>11803.75471424352</v>
      </c>
      <c r="M35" s="168">
        <f>SUM('CH4'!M35,N2O!M35)</f>
        <v>11692.581438783565</v>
      </c>
      <c r="N35" s="168">
        <f>SUM('CH4'!N35,N2O!N35)</f>
        <v>11649.201249432268</v>
      </c>
      <c r="O35" s="168">
        <f>SUM('CH4'!O35,N2O!O35)</f>
        <v>11825.428001909868</v>
      </c>
      <c r="P35" s="168">
        <f>SUM('CH4'!P35,N2O!P35)</f>
        <v>11560.482422616415</v>
      </c>
      <c r="Q35" s="168">
        <f>SUM('CH4'!Q35,N2O!Q35)</f>
        <v>11599.812852860548</v>
      </c>
      <c r="R35" s="168">
        <f>SUM('CH4'!R35,N2O!R35)</f>
        <v>11262.762225632956</v>
      </c>
      <c r="S35" s="168">
        <f>SUM('CH4'!S35,N2O!S35)</f>
        <v>11184.393279012762</v>
      </c>
      <c r="T35" s="168">
        <f>SUM('CH4'!T35,N2O!T35)</f>
        <v>10964.280887075747</v>
      </c>
      <c r="U35" s="168">
        <f>SUM('CH4'!U35,N2O!U35)</f>
        <v>11011.683942822276</v>
      </c>
      <c r="V35" s="168">
        <f>SUM('CH4'!V35,N2O!V35)</f>
        <v>10926.048728008715</v>
      </c>
      <c r="W35" s="168">
        <f>SUM('CH4'!W35,N2O!W35)</f>
        <v>10886.904655919941</v>
      </c>
      <c r="X35" s="168">
        <f>SUM('CH4'!X35,N2O!X35)</f>
        <v>10495.040427463349</v>
      </c>
      <c r="Y35" s="168">
        <f>SUM('CH4'!Y35,N2O!Y35)</f>
        <v>10390.164907102442</v>
      </c>
      <c r="Z35" s="168">
        <f>SUM('CH4'!Z35,N2O!Z35)</f>
        <v>10487.578227949243</v>
      </c>
      <c r="AA35" s="168">
        <f>SUM('CH4'!AA35,N2O!AA35)</f>
        <v>10534.253864314618</v>
      </c>
      <c r="AB35" s="168">
        <f>SUM('CH4'!AB35,N2O!AB35)</f>
        <v>10656.711717714043</v>
      </c>
      <c r="AC35" s="168">
        <f>SUM('CH4'!AC35,N2O!AC35)</f>
        <v>10606.155759718218</v>
      </c>
      <c r="AD35" s="168">
        <f>SUM('CH4'!AD35,N2O!AD35)</f>
        <v>10575.533935221223</v>
      </c>
      <c r="AE35" s="168">
        <f>SUM('CH4'!AE35,N2O!AE35)</f>
        <v>10578.445609843649</v>
      </c>
      <c r="AF35" s="168">
        <f>SUM('CH4'!AF35,N2O!AF35)</f>
        <v>10432.703340154014</v>
      </c>
      <c r="AG35" s="168">
        <f>SUM('CH4'!AG35,N2O!AG35)</f>
        <v>10374.643648321795</v>
      </c>
      <c r="AH35" s="168">
        <f>SUM('CH4'!AH35,N2O!AH35)</f>
        <v>10251.428391478272</v>
      </c>
      <c r="AI35" s="168">
        <f>SUM('CH4'!AI35,N2O!AI35)</f>
        <v>9815.1404785593768</v>
      </c>
      <c r="AJ35" s="168">
        <f>SUM('CH4'!AJ35,N2O!AJ35)</f>
        <v>9377.1043153825613</v>
      </c>
      <c r="AK35" s="168">
        <f>SUM('CH4'!AK35,N2O!AK35)</f>
        <v>9347.6529027537927</v>
      </c>
      <c r="AL35" s="168">
        <f>SUM('CH4'!AL35,N2O!AL35)</f>
        <v>9183.4497034571559</v>
      </c>
    </row>
    <row r="36" spans="2:38" s="150" customFormat="1" ht="18.75" customHeight="1">
      <c r="B36" s="90" t="s">
        <v>32</v>
      </c>
      <c r="C36" s="160" t="s">
        <v>3</v>
      </c>
      <c r="D36" s="167">
        <f>SUM(N2O!D36)</f>
        <v>19817.454136616543</v>
      </c>
      <c r="E36" s="167">
        <f>SUM(N2O!E36)</f>
        <v>18695.549020143164</v>
      </c>
      <c r="F36" s="167">
        <f>SUM(N2O!F36)</f>
        <v>18100.974779883192</v>
      </c>
      <c r="G36" s="167">
        <f>SUM(N2O!G36)</f>
        <v>17379.427399359796</v>
      </c>
      <c r="H36" s="167">
        <f>SUM(N2O!H36)</f>
        <v>17302.266655632462</v>
      </c>
      <c r="I36" s="167">
        <f>SUM(N2O!I36)</f>
        <v>17321.588299345316</v>
      </c>
      <c r="J36" s="167">
        <f>SUM(N2O!J36)</f>
        <v>17605.10604865905</v>
      </c>
      <c r="K36" s="167">
        <f>SUM(N2O!K36)</f>
        <v>17471.426477386707</v>
      </c>
      <c r="L36" s="167">
        <f>SUM(N2O!L36)</f>
        <v>17293.895322800545</v>
      </c>
      <c r="M36" s="167">
        <f>SUM(N2O!M36)</f>
        <v>18008.712489252775</v>
      </c>
      <c r="N36" s="167">
        <f>SUM(N2O!N36)</f>
        <v>18022.285896778572</v>
      </c>
      <c r="O36" s="167">
        <f>SUM(N2O!O36)</f>
        <v>17811.28644611693</v>
      </c>
      <c r="P36" s="167">
        <f>SUM(N2O!P36)</f>
        <v>17336.314815045156</v>
      </c>
      <c r="Q36" s="167">
        <f>SUM(N2O!Q36)</f>
        <v>17635.415967330664</v>
      </c>
      <c r="R36" s="167">
        <f>SUM(N2O!R36)</f>
        <v>17400.86898877977</v>
      </c>
      <c r="S36" s="167">
        <f>SUM(N2O!S36)</f>
        <v>17553.219824361731</v>
      </c>
      <c r="T36" s="167">
        <f>SUM(N2O!T36)</f>
        <v>17285.955091250245</v>
      </c>
      <c r="U36" s="167">
        <f>SUM(N2O!U36)</f>
        <v>17311.345344889938</v>
      </c>
      <c r="V36" s="167">
        <f>SUM(N2O!V36)</f>
        <v>17350.319290274951</v>
      </c>
      <c r="W36" s="167">
        <f>SUM(N2O!W36)</f>
        <v>17517.802939490219</v>
      </c>
      <c r="X36" s="167">
        <f>SUM(N2O!X36)</f>
        <v>17496.175402670669</v>
      </c>
      <c r="Y36" s="167">
        <f>SUM(N2O!Y36)</f>
        <v>17789.295957610964</v>
      </c>
      <c r="Z36" s="167">
        <f>SUM(N2O!Z36)</f>
        <v>18122.976408676626</v>
      </c>
      <c r="AA36" s="167">
        <f>SUM(N2O!AA36)</f>
        <v>18275.259300764417</v>
      </c>
      <c r="AB36" s="167">
        <f>SUM(N2O!AB36)</f>
        <v>18747.273325638907</v>
      </c>
      <c r="AC36" s="167">
        <f>SUM(N2O!AC36)</f>
        <v>18773.874616622939</v>
      </c>
      <c r="AD36" s="167">
        <f>SUM(N2O!AD36)</f>
        <v>18787.899923786375</v>
      </c>
      <c r="AE36" s="167">
        <f>SUM(N2O!AE36)</f>
        <v>18070.039503265907</v>
      </c>
      <c r="AF36" s="167">
        <f>SUM(N2O!AF36)</f>
        <v>17774.482578994455</v>
      </c>
      <c r="AG36" s="167">
        <f>SUM(N2O!AG36)</f>
        <v>17182.724935337341</v>
      </c>
      <c r="AH36" s="167">
        <f>SUM(N2O!AH36)</f>
        <v>16713.8935753117</v>
      </c>
      <c r="AI36" s="167">
        <f>SUM(N2O!AI36)</f>
        <v>16081.349148447898</v>
      </c>
      <c r="AJ36" s="167">
        <f>SUM(N2O!AJ36)</f>
        <v>15815.881925574789</v>
      </c>
      <c r="AK36" s="167">
        <f>SUM(N2O!AK36)</f>
        <v>15164.51869378391</v>
      </c>
      <c r="AL36" s="167">
        <f>SUM(N2O!AL36)</f>
        <v>15124.59223210766</v>
      </c>
    </row>
    <row r="37" spans="2:38" s="150" customFormat="1" ht="18.75" customHeight="1">
      <c r="B37" s="19" t="s">
        <v>33</v>
      </c>
      <c r="C37" s="159" t="s">
        <v>3</v>
      </c>
      <c r="D37" s="168">
        <f>SUM('CO2'!D37)</f>
        <v>2200.0091746331905</v>
      </c>
      <c r="E37" s="168">
        <f>SUM('CO2'!E37)</f>
        <v>1986.5760969733769</v>
      </c>
      <c r="F37" s="168">
        <f>SUM('CO2'!F37)</f>
        <v>1748.9646671605524</v>
      </c>
      <c r="G37" s="168">
        <f>SUM('CO2'!G37)</f>
        <v>1465.2322748345618</v>
      </c>
      <c r="H37" s="168">
        <f>SUM('CO2'!H37)</f>
        <v>1324.7076951720933</v>
      </c>
      <c r="I37" s="168">
        <f>SUM('CO2'!I37)</f>
        <v>1279.7427271810482</v>
      </c>
      <c r="J37" s="168">
        <f>SUM('CO2'!J37)</f>
        <v>1380.3173560578052</v>
      </c>
      <c r="K37" s="168">
        <f>SUM('CO2'!K37)</f>
        <v>1480.0880651919651</v>
      </c>
      <c r="L37" s="168">
        <f>SUM('CO2'!L37)</f>
        <v>1588.2379417548243</v>
      </c>
      <c r="M37" s="168">
        <f>SUM('CO2'!M37)</f>
        <v>1714.948024152578</v>
      </c>
      <c r="N37" s="168">
        <f>SUM('CO2'!N37)</f>
        <v>1695.3908956279254</v>
      </c>
      <c r="O37" s="168">
        <f>SUM('CO2'!O37)</f>
        <v>1694.2857411657083</v>
      </c>
      <c r="P37" s="168">
        <f>SUM('CO2'!P37)</f>
        <v>1592.1183269642136</v>
      </c>
      <c r="Q37" s="168">
        <f>SUM('CO2'!Q37)</f>
        <v>1568.2396797721244</v>
      </c>
      <c r="R37" s="168">
        <f>SUM('CO2'!R37)</f>
        <v>1482.4714665403244</v>
      </c>
      <c r="S37" s="168">
        <f>SUM('CO2'!S37)</f>
        <v>1427.512953315917</v>
      </c>
      <c r="T37" s="168">
        <f>SUM('CO2'!T37)</f>
        <v>1438.4972361264711</v>
      </c>
      <c r="U37" s="168">
        <f>SUM('CO2'!U37)</f>
        <v>1477.1324157155898</v>
      </c>
      <c r="V37" s="168">
        <f>SUM('CO2'!V37)</f>
        <v>1544.7135040892247</v>
      </c>
      <c r="W37" s="168">
        <f>SUM('CO2'!W37)</f>
        <v>1521.9677557275461</v>
      </c>
      <c r="X37" s="168">
        <f>SUM('CO2'!X37)</f>
        <v>1549.0008412794591</v>
      </c>
      <c r="Y37" s="168">
        <f>SUM('CO2'!Y37)</f>
        <v>1593.2639130940479</v>
      </c>
      <c r="Z37" s="168">
        <f>SUM('CO2'!Z37)</f>
        <v>1692.0846129581978</v>
      </c>
      <c r="AA37" s="168">
        <f>SUM('CO2'!AA37)</f>
        <v>1824.5301506517635</v>
      </c>
      <c r="AB37" s="168">
        <f>SUM('CO2'!AB37)</f>
        <v>1917.2560062283042</v>
      </c>
      <c r="AC37" s="168">
        <f>SUM('CO2'!AC37)</f>
        <v>1905.7889653428215</v>
      </c>
      <c r="AD37" s="168">
        <f>SUM('CO2'!AD37)</f>
        <v>1881.7710978389953</v>
      </c>
      <c r="AE37" s="168">
        <f>SUM('CO2'!AE37)</f>
        <v>1937.6313819510826</v>
      </c>
      <c r="AF37" s="168">
        <f>SUM('CO2'!AF37)</f>
        <v>2047.4384710724457</v>
      </c>
      <c r="AG37" s="168">
        <f>SUM('CO2'!AG37)</f>
        <v>2038.8381471044406</v>
      </c>
      <c r="AH37" s="168">
        <f>SUM('CO2'!AH37)</f>
        <v>2009.7765735279881</v>
      </c>
      <c r="AI37" s="168">
        <f>SUM('CO2'!AI37)</f>
        <v>1982.6148498016075</v>
      </c>
      <c r="AJ37" s="168">
        <f>SUM('CO2'!AJ37)</f>
        <v>1994.6207401739057</v>
      </c>
      <c r="AK37" s="168">
        <f>SUM('CO2'!AK37)</f>
        <v>1960.1301645960275</v>
      </c>
      <c r="AL37" s="168">
        <f>SUM('CO2'!AL37)</f>
        <v>1833.9958969471077</v>
      </c>
    </row>
    <row r="38" spans="2:38" s="150" customFormat="1" ht="18.75" customHeight="1">
      <c r="B38" s="90" t="s">
        <v>34</v>
      </c>
      <c r="C38" s="160" t="s">
        <v>3</v>
      </c>
      <c r="D38" s="167">
        <f>SUM('CO2'!D38)</f>
        <v>479.99756126848592</v>
      </c>
      <c r="E38" s="167">
        <f>SUM('CO2'!E38)</f>
        <v>437.08767815465711</v>
      </c>
      <c r="F38" s="167">
        <f>SUM('CO2'!F38)</f>
        <v>427.55946715898801</v>
      </c>
      <c r="G38" s="167">
        <f>SUM('CO2'!G38)</f>
        <v>422.13570376145344</v>
      </c>
      <c r="H38" s="167">
        <f>SUM('CO2'!H38)</f>
        <v>448.57249918943671</v>
      </c>
      <c r="I38" s="167">
        <f>SUM('CO2'!I38)</f>
        <v>458.53290458490926</v>
      </c>
      <c r="J38" s="167">
        <f>SUM('CO2'!J38)</f>
        <v>484.76947595965026</v>
      </c>
      <c r="K38" s="167">
        <f>SUM('CO2'!K38)</f>
        <v>497.80342831372576</v>
      </c>
      <c r="L38" s="167">
        <f>SUM('CO2'!L38)</f>
        <v>524.10390455510424</v>
      </c>
      <c r="M38" s="167">
        <f>SUM('CO2'!M38)</f>
        <v>551.55649974929247</v>
      </c>
      <c r="N38" s="167">
        <f>SUM('CO2'!N38)</f>
        <v>593.13021403706205</v>
      </c>
      <c r="O38" s="167">
        <f>SUM('CO2'!O38)</f>
        <v>621.65452353742978</v>
      </c>
      <c r="P38" s="167">
        <f>SUM('CO2'!P38)</f>
        <v>639.95328540244543</v>
      </c>
      <c r="Q38" s="167">
        <f>SUM('CO2'!Q38)</f>
        <v>650.10104734449953</v>
      </c>
      <c r="R38" s="167">
        <f>SUM('CO2'!R38)</f>
        <v>634.30897589167773</v>
      </c>
      <c r="S38" s="167">
        <f>SUM('CO2'!S38)</f>
        <v>641.09414255526031</v>
      </c>
      <c r="T38" s="167">
        <f>SUM('CO2'!T38)</f>
        <v>630.93302353321212</v>
      </c>
      <c r="U38" s="167">
        <f>SUM('CO2'!U38)</f>
        <v>647.56030921898764</v>
      </c>
      <c r="V38" s="167">
        <f>SUM('CO2'!V38)</f>
        <v>694.62878537759286</v>
      </c>
      <c r="W38" s="167">
        <f>SUM('CO2'!W38)</f>
        <v>676.7553568457173</v>
      </c>
      <c r="X38" s="167">
        <f>SUM('CO2'!X38)</f>
        <v>710.75347585693021</v>
      </c>
      <c r="Y38" s="167">
        <f>SUM('CO2'!Y38)</f>
        <v>654.02883303604756</v>
      </c>
      <c r="Z38" s="167">
        <f>SUM('CO2'!Z38)</f>
        <v>689.90585683973961</v>
      </c>
      <c r="AA38" s="167">
        <f>SUM('CO2'!AA38)</f>
        <v>672.55047587429522</v>
      </c>
      <c r="AB38" s="167">
        <f>SUM('CO2'!AB38)</f>
        <v>749.704999659225</v>
      </c>
      <c r="AC38" s="167">
        <f>SUM('CO2'!AC38)</f>
        <v>791.49504757356283</v>
      </c>
      <c r="AD38" s="167">
        <f>SUM('CO2'!AD38)</f>
        <v>815.14216629614759</v>
      </c>
      <c r="AE38" s="167">
        <f>SUM('CO2'!AE38)</f>
        <v>719.56657113292431</v>
      </c>
      <c r="AF38" s="167">
        <f>SUM('CO2'!AF38)</f>
        <v>605.2506425715527</v>
      </c>
      <c r="AG38" s="167">
        <f>SUM('CO2'!AG38)</f>
        <v>497.74816644041744</v>
      </c>
      <c r="AH38" s="167">
        <f>SUM('CO2'!AH38)</f>
        <v>433.26538077639452</v>
      </c>
      <c r="AI38" s="167">
        <f>SUM('CO2'!AI38)</f>
        <v>397.29616648607748</v>
      </c>
      <c r="AJ38" s="167">
        <f>SUM('CO2'!AJ38)</f>
        <v>366.99928552651539</v>
      </c>
      <c r="AK38" s="167">
        <f>SUM('CO2'!AK38)</f>
        <v>360.08369032299225</v>
      </c>
      <c r="AL38" s="167">
        <f>SUM('CO2'!AL38)</f>
        <v>330.20585700323971</v>
      </c>
    </row>
    <row r="39" spans="2:38" s="150" customFormat="1" ht="18.75" customHeight="1">
      <c r="B39" s="19" t="s">
        <v>35</v>
      </c>
      <c r="C39" s="159" t="s">
        <v>3</v>
      </c>
      <c r="D39" s="168">
        <f>SUM('CO2'!D39)</f>
        <v>510.44657839999996</v>
      </c>
      <c r="E39" s="168">
        <f>SUM('CO2'!E39)</f>
        <v>473.6456458799999</v>
      </c>
      <c r="F39" s="168">
        <f>SUM('CO2'!F39)</f>
        <v>448.82474999999999</v>
      </c>
      <c r="G39" s="168">
        <f>SUM('CO2'!G39)</f>
        <v>415.20003839600002</v>
      </c>
      <c r="H39" s="168">
        <f>SUM('CO2'!H39)</f>
        <v>402.08593853999992</v>
      </c>
      <c r="I39" s="168">
        <f>SUM('CO2'!I39)</f>
        <v>389.494621736</v>
      </c>
      <c r="J39" s="168">
        <f>SUM('CO2'!J39)</f>
        <v>390.62263613999994</v>
      </c>
      <c r="K39" s="168">
        <f>SUM('CO2'!K39)</f>
        <v>377.44347695999994</v>
      </c>
      <c r="L39" s="168">
        <f>SUM('CO2'!L39)</f>
        <v>370.60261928800003</v>
      </c>
      <c r="M39" s="168">
        <f>SUM('CO2'!M39)</f>
        <v>377.58292378399995</v>
      </c>
      <c r="N39" s="168">
        <f>SUM('CO2'!N39)</f>
        <v>366.62832148799998</v>
      </c>
      <c r="O39" s="168">
        <f>SUM('CO2'!O39)</f>
        <v>349.01621985999992</v>
      </c>
      <c r="P39" s="168">
        <f>SUM('CO2'!P39)</f>
        <v>319.79681500800001</v>
      </c>
      <c r="Q39" s="168">
        <f>SUM('CO2'!Q39)</f>
        <v>312.16542676</v>
      </c>
      <c r="R39" s="168">
        <f>SUM('CO2'!R39)</f>
        <v>309.77691716399994</v>
      </c>
      <c r="S39" s="168">
        <f>SUM('CO2'!S39)</f>
        <v>307.53183511599997</v>
      </c>
      <c r="T39" s="168">
        <f>SUM('CO2'!T39)</f>
        <v>285.76120658800005</v>
      </c>
      <c r="U39" s="168">
        <f>SUM('CO2'!U39)</f>
        <v>282.91231086800002</v>
      </c>
      <c r="V39" s="168">
        <f>SUM('CO2'!V39)</f>
        <v>260.72744675999996</v>
      </c>
      <c r="W39" s="168">
        <f>SUM('CO2'!W39)</f>
        <v>267.26851228000004</v>
      </c>
      <c r="X39" s="168">
        <f>SUM('CO2'!X39)</f>
        <v>257.23667252799999</v>
      </c>
      <c r="Y39" s="168">
        <f>SUM('CO2'!Y39)</f>
        <v>264.10290676</v>
      </c>
      <c r="Z39" s="168">
        <f>SUM('CO2'!Z39)</f>
        <v>253.91420485199998</v>
      </c>
      <c r="AA39" s="168">
        <f>SUM('CO2'!AA39)</f>
        <v>240.28784537999999</v>
      </c>
      <c r="AB39" s="168">
        <f>SUM('CO2'!AB39)</f>
        <v>236.22273914799999</v>
      </c>
      <c r="AC39" s="168">
        <f>SUM('CO2'!AC39)</f>
        <v>230.67260471200001</v>
      </c>
      <c r="AD39" s="168">
        <f>SUM('CO2'!AD39)</f>
        <v>225.71571026399999</v>
      </c>
      <c r="AE39" s="168">
        <f>SUM('CO2'!AE39)</f>
        <v>213.03624601600001</v>
      </c>
      <c r="AF39" s="168">
        <f>SUM('CO2'!AF39)</f>
        <v>202.70871922399999</v>
      </c>
      <c r="AG39" s="168">
        <f>SUM('CO2'!AG39)</f>
        <v>194.21726350399999</v>
      </c>
      <c r="AH39" s="168">
        <f>SUM('CO2'!AH39)</f>
        <v>185.45922916399999</v>
      </c>
      <c r="AI39" s="168">
        <f>SUM('CO2'!AI39)</f>
        <v>175.54705748800001</v>
      </c>
      <c r="AJ39" s="168">
        <f>SUM('CO2'!AJ39)</f>
        <v>157.481660248</v>
      </c>
      <c r="AK39" s="168">
        <f>SUM('CO2'!AK39)</f>
        <v>143.63226046399998</v>
      </c>
      <c r="AL39" s="168">
        <f>SUM('CO2'!AL39)</f>
        <v>144.8050571</v>
      </c>
    </row>
    <row r="40" spans="2:38" s="150" customFormat="1" ht="18.75" customHeight="1">
      <c r="B40" s="90" t="s">
        <v>36</v>
      </c>
      <c r="C40" s="160" t="s">
        <v>3</v>
      </c>
      <c r="D40" s="167">
        <f>SUM('CH4'!D40,N2O!D40)</f>
        <v>0.42052832874842655</v>
      </c>
      <c r="E40" s="167">
        <f>SUM('CH4'!E40,N2O!E40)</f>
        <v>1.016753573065825</v>
      </c>
      <c r="F40" s="167">
        <f>SUM('CH4'!F40,N2O!F40)</f>
        <v>1.3694793071987017</v>
      </c>
      <c r="G40" s="167">
        <f>SUM('CH4'!G40,N2O!G40)</f>
        <v>1.7782841479351954</v>
      </c>
      <c r="H40" s="167">
        <f>SUM('CH4'!H40,N2O!H40)</f>
        <v>2.1833587655049582</v>
      </c>
      <c r="I40" s="167">
        <f>SUM('CH4'!I40,N2O!I40)</f>
        <v>5.2868928865074096</v>
      </c>
      <c r="J40" s="167">
        <f>SUM('CH4'!J40,N2O!J40)</f>
        <v>8.771522115244494</v>
      </c>
      <c r="K40" s="167">
        <f>SUM('CH4'!K40,N2O!K40)</f>
        <v>11.059970698655402</v>
      </c>
      <c r="L40" s="167">
        <f>SUM('CH4'!L40,N2O!L40)</f>
        <v>24.915884279258435</v>
      </c>
      <c r="M40" s="167">
        <f>SUM('CH4'!M40,N2O!M40)</f>
        <v>28.261962704930184</v>
      </c>
      <c r="N40" s="167">
        <f>SUM('CH4'!N40,N2O!N40)</f>
        <v>44.78060706250556</v>
      </c>
      <c r="O40" s="167">
        <f>SUM('CH4'!O40,N2O!O40)</f>
        <v>63.430497862210785</v>
      </c>
      <c r="P40" s="167">
        <f>SUM('CH4'!P40,N2O!P40)</f>
        <v>91.005041028818653</v>
      </c>
      <c r="Q40" s="167">
        <f>SUM('CH4'!Q40,N2O!Q40)</f>
        <v>107.25849095722532</v>
      </c>
      <c r="R40" s="167">
        <f>SUM('CH4'!R40,N2O!R40)</f>
        <v>138.3634309497908</v>
      </c>
      <c r="S40" s="167">
        <f>SUM('CH4'!S40,N2O!S40)</f>
        <v>366.02915178506862</v>
      </c>
      <c r="T40" s="167">
        <f>SUM('CH4'!T40,N2O!T40)</f>
        <v>500.03075644520624</v>
      </c>
      <c r="U40" s="167">
        <f>SUM('CH4'!U40,N2O!U40)</f>
        <v>664.08938467058192</v>
      </c>
      <c r="V40" s="167">
        <f>SUM('CH4'!V40,N2O!V40)</f>
        <v>752.42946030374878</v>
      </c>
      <c r="W40" s="167">
        <f>SUM('CH4'!W40,N2O!W40)</f>
        <v>937.40399383521969</v>
      </c>
      <c r="X40" s="167">
        <f>SUM('CH4'!X40,N2O!X40)</f>
        <v>1144.4910048528245</v>
      </c>
      <c r="Y40" s="167">
        <f>SUM('CH4'!Y40,N2O!Y40)</f>
        <v>1383.1921651114185</v>
      </c>
      <c r="Z40" s="167">
        <f>SUM('CH4'!Z40,N2O!Z40)</f>
        <v>1404.5219897341622</v>
      </c>
      <c r="AA40" s="167">
        <f>SUM('CH4'!AA40,N2O!AA40)</f>
        <v>1680.1232693857428</v>
      </c>
      <c r="AB40" s="167">
        <f>SUM('CH4'!AB40,N2O!AB40)</f>
        <v>1735.6160245531323</v>
      </c>
      <c r="AC40" s="167">
        <f>SUM('CH4'!AC40,N2O!AC40)</f>
        <v>1779.2109982246586</v>
      </c>
      <c r="AD40" s="167">
        <f>SUM('CH4'!AD40,N2O!AD40)</f>
        <v>1746.3122479056101</v>
      </c>
      <c r="AE40" s="167">
        <f>SUM('CH4'!AE40,N2O!AE40)</f>
        <v>1696.445325793635</v>
      </c>
      <c r="AF40" s="167">
        <f>SUM('CH4'!AF40,N2O!AF40)</f>
        <v>1649.1503786518822</v>
      </c>
      <c r="AG40" s="167">
        <f>SUM('CH4'!AG40,N2O!AG40)</f>
        <v>1604.8582067931097</v>
      </c>
      <c r="AH40" s="167">
        <f>SUM('CH4'!AH40,N2O!AH40)</f>
        <v>1593.8325961412311</v>
      </c>
      <c r="AI40" s="167">
        <f>SUM('CH4'!AI40,N2O!AI40)</f>
        <v>1517.2033447236006</v>
      </c>
      <c r="AJ40" s="167">
        <f>SUM('CH4'!AJ40,N2O!AJ40)</f>
        <v>1636.647398537026</v>
      </c>
      <c r="AK40" s="167">
        <f>SUM('CH4'!AK40,N2O!AK40)</f>
        <v>1636.647398537026</v>
      </c>
      <c r="AL40" s="167">
        <f>SUM('CH4'!AL40,N2O!AL40)</f>
        <v>1636.647398537026</v>
      </c>
    </row>
    <row r="41" spans="2:38" s="150" customFormat="1" ht="18.75" customHeight="1">
      <c r="B41" s="19"/>
      <c r="C41" s="159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</row>
    <row r="42" spans="2:38" s="10" customFormat="1" ht="18.75" customHeight="1">
      <c r="B42" s="153" t="s">
        <v>16</v>
      </c>
      <c r="C42" s="22" t="s">
        <v>3</v>
      </c>
      <c r="D42" s="165">
        <f>SUMIF(D43:D46,"&lt;1E+307")</f>
        <v>41550.208209684955</v>
      </c>
      <c r="E42" s="165">
        <f t="shared" ref="E42:AE42" si="28">SUMIF(E43:E46,"&lt;1E+307")</f>
        <v>43096.386910464244</v>
      </c>
      <c r="F42" s="165">
        <f t="shared" si="28"/>
        <v>43690.552789579269</v>
      </c>
      <c r="G42" s="165">
        <f t="shared" si="28"/>
        <v>43410.594571395734</v>
      </c>
      <c r="H42" s="165">
        <f t="shared" si="28"/>
        <v>42331.817932506026</v>
      </c>
      <c r="I42" s="165">
        <f t="shared" si="28"/>
        <v>41064.653718503017</v>
      </c>
      <c r="J42" s="165">
        <f t="shared" si="28"/>
        <v>39269.523659810075</v>
      </c>
      <c r="K42" s="165">
        <f t="shared" si="28"/>
        <v>35964.229901993094</v>
      </c>
      <c r="L42" s="165">
        <f t="shared" si="28"/>
        <v>33433.339536685176</v>
      </c>
      <c r="M42" s="165">
        <f t="shared" si="28"/>
        <v>31447.017076910739</v>
      </c>
      <c r="N42" s="165">
        <f t="shared" si="28"/>
        <v>29572.460032452174</v>
      </c>
      <c r="O42" s="165">
        <f t="shared" si="28"/>
        <v>27568.820348292542</v>
      </c>
      <c r="P42" s="165">
        <f t="shared" si="28"/>
        <v>25848.040379858077</v>
      </c>
      <c r="Q42" s="165">
        <f t="shared" si="28"/>
        <v>24062.269037338847</v>
      </c>
      <c r="R42" s="165">
        <f t="shared" si="28"/>
        <v>21489.217535313594</v>
      </c>
      <c r="S42" s="165">
        <f t="shared" si="28"/>
        <v>19830.658338951438</v>
      </c>
      <c r="T42" s="165">
        <f t="shared" si="28"/>
        <v>17758.310821011335</v>
      </c>
      <c r="U42" s="165">
        <f t="shared" si="28"/>
        <v>16236.759090921445</v>
      </c>
      <c r="V42" s="165">
        <f t="shared" si="28"/>
        <v>14839.270182314303</v>
      </c>
      <c r="W42" s="165">
        <f t="shared" si="28"/>
        <v>13445.488095760964</v>
      </c>
      <c r="X42" s="165">
        <f t="shared" si="28"/>
        <v>12191.951804297189</v>
      </c>
      <c r="Y42" s="165">
        <f t="shared" si="28"/>
        <v>11309.311816960442</v>
      </c>
      <c r="Z42" s="165">
        <f t="shared" si="28"/>
        <v>10483.4533416133</v>
      </c>
      <c r="AA42" s="165">
        <f t="shared" si="28"/>
        <v>9687.7307795737379</v>
      </c>
      <c r="AB42" s="165">
        <f t="shared" si="28"/>
        <v>9062.3234858579435</v>
      </c>
      <c r="AC42" s="165">
        <f t="shared" si="28"/>
        <v>8443.4764283906225</v>
      </c>
      <c r="AD42" s="165">
        <f t="shared" si="28"/>
        <v>7904.3758078803712</v>
      </c>
      <c r="AE42" s="165">
        <f t="shared" si="28"/>
        <v>7525.8270473636476</v>
      </c>
      <c r="AF42" s="165">
        <f t="shared" ref="AF42:AG42" si="29">SUMIF(AF43:AF46,"&lt;1E+307")</f>
        <v>7131.2752606781605</v>
      </c>
      <c r="AG42" s="165">
        <f t="shared" si="29"/>
        <v>6606.3236655840219</v>
      </c>
      <c r="AH42" s="165">
        <f t="shared" ref="AH42" si="30">SUMIF(AH43:AH46,"&lt;1E+307")</f>
        <v>6121.4434396600082</v>
      </c>
      <c r="AI42" s="165">
        <f t="shared" ref="AI42" si="31">SUMIF(AI43:AI46,"&lt;1E+307")</f>
        <v>5915.4360453990103</v>
      </c>
      <c r="AJ42" s="165">
        <f t="shared" ref="AJ42:AK42" si="32">SUMIF(AJ43:AJ46,"&lt;1E+307")</f>
        <v>5649.6139083900425</v>
      </c>
      <c r="AK42" s="165">
        <f t="shared" si="32"/>
        <v>5490.0232878830184</v>
      </c>
      <c r="AL42" s="165">
        <f t="shared" ref="AL42" si="33">SUMIF(AL43:AL46,"&lt;1E+307")</f>
        <v>5355.5039453987274</v>
      </c>
    </row>
    <row r="43" spans="2:38" s="150" customFormat="1" ht="18.75" customHeight="1">
      <c r="B43" s="19" t="s">
        <v>19</v>
      </c>
      <c r="C43" s="159" t="s">
        <v>3</v>
      </c>
      <c r="D43" s="168">
        <f>SUM('CH4'!D43)</f>
        <v>37191.252</v>
      </c>
      <c r="E43" s="168">
        <f>SUM('CH4'!E43)</f>
        <v>39322.5</v>
      </c>
      <c r="F43" s="168">
        <f>SUM('CH4'!F43)</f>
        <v>40268.116000000002</v>
      </c>
      <c r="G43" s="168">
        <f>SUM('CH4'!G43)</f>
        <v>40154.239999999998</v>
      </c>
      <c r="H43" s="168">
        <f>SUM('CH4'!H43)</f>
        <v>39212.824000000001</v>
      </c>
      <c r="I43" s="168">
        <f>SUM('CH4'!I43)</f>
        <v>37857.175999999999</v>
      </c>
      <c r="J43" s="168">
        <f>SUM('CH4'!J43)</f>
        <v>36060.023999999998</v>
      </c>
      <c r="K43" s="168">
        <f>SUM('CH4'!K43)</f>
        <v>32792.06</v>
      </c>
      <c r="L43" s="168">
        <f>SUM('CH4'!L43)</f>
        <v>30293.144</v>
      </c>
      <c r="M43" s="168">
        <f>SUM('CH4'!M43)</f>
        <v>28232.763999999999</v>
      </c>
      <c r="N43" s="168">
        <f>SUM('CH4'!N43)</f>
        <v>26271.559999999998</v>
      </c>
      <c r="O43" s="168">
        <f>SUM('CH4'!O43)</f>
        <v>24258.471999999998</v>
      </c>
      <c r="P43" s="168">
        <f>SUM('CH4'!P43)</f>
        <v>22439.396000000001</v>
      </c>
      <c r="Q43" s="168">
        <f>SUM('CH4'!Q43)</f>
        <v>20668.2</v>
      </c>
      <c r="R43" s="168">
        <f>SUM('CH4'!R43)</f>
        <v>18093.683999999997</v>
      </c>
      <c r="S43" s="168">
        <f>SUM('CH4'!S43)</f>
        <v>16360.596</v>
      </c>
      <c r="T43" s="168">
        <f>SUM('CH4'!T43)</f>
        <v>14511.195999999998</v>
      </c>
      <c r="U43" s="168">
        <f>SUM('CH4'!U43)</f>
        <v>12969.46</v>
      </c>
      <c r="V43" s="168">
        <f>SUM('CH4'!V43)</f>
        <v>11613.616</v>
      </c>
      <c r="W43" s="168">
        <f>SUM('CH4'!W43)</f>
        <v>10232.348</v>
      </c>
      <c r="X43" s="168">
        <f>SUM('CH4'!X43)</f>
        <v>9015.1880000000001</v>
      </c>
      <c r="Y43" s="168">
        <f>SUM('CH4'!Y43)</f>
        <v>8067.5279999999993</v>
      </c>
      <c r="Z43" s="168">
        <f>SUM('CH4'!Z43)</f>
        <v>7233.2399999999989</v>
      </c>
      <c r="AA43" s="168">
        <f>SUM('CH4'!AA43)</f>
        <v>6471.2479999999996</v>
      </c>
      <c r="AB43" s="168">
        <f>SUM('CH4'!AB43)</f>
        <v>5796.616</v>
      </c>
      <c r="AC43" s="168">
        <f>SUM('CH4'!AC43)</f>
        <v>5191.8440000000001</v>
      </c>
      <c r="AD43" s="168">
        <f>SUM('CH4'!AD43)</f>
        <v>4657.1840000000002</v>
      </c>
      <c r="AE43" s="168">
        <f>SUM('CH4'!AE43)</f>
        <v>4284.1399999999994</v>
      </c>
      <c r="AF43" s="168">
        <f>SUM('CH4'!AF43)</f>
        <v>3944.5839999999998</v>
      </c>
      <c r="AG43" s="168">
        <f>SUM('CH4'!AG43)</f>
        <v>3426.7239999999997</v>
      </c>
      <c r="AH43" s="168">
        <f>SUM('CH4'!AH43)</f>
        <v>2973.096</v>
      </c>
      <c r="AI43" s="168">
        <f>SUM('CH4'!AI43)</f>
        <v>2685.5079999999998</v>
      </c>
      <c r="AJ43" s="168">
        <f>SUM('CH4'!AJ43)</f>
        <v>2431.9007999999999</v>
      </c>
      <c r="AK43" s="168">
        <f>SUM('CH4'!AK43)</f>
        <v>2245.1295999999998</v>
      </c>
      <c r="AL43" s="168">
        <f>SUM('CH4'!AL43)</f>
        <v>2072.4760000000001</v>
      </c>
    </row>
    <row r="44" spans="2:38" s="150" customFormat="1" ht="18.75" customHeight="1">
      <c r="B44" s="90" t="s">
        <v>74</v>
      </c>
      <c r="C44" s="160" t="s">
        <v>3</v>
      </c>
      <c r="D44" s="167">
        <f>SUM('CH4'!D44,N2O!D44)</f>
        <v>79.06027499999999</v>
      </c>
      <c r="E44" s="167">
        <f>SUM('CH4'!E44,N2O!E44)</f>
        <v>94.402664999999985</v>
      </c>
      <c r="F44" s="167">
        <f>SUM('CH4'!F44,N2O!F44)</f>
        <v>109.74505500000001</v>
      </c>
      <c r="G44" s="167">
        <f>SUM('CH4'!G44,N2O!G44)</f>
        <v>125.087445</v>
      </c>
      <c r="H44" s="167">
        <f>SUM('CH4'!H44,N2O!H44)</f>
        <v>197.39847739499999</v>
      </c>
      <c r="I44" s="167">
        <f>SUM('CH4'!I44,N2O!I44)</f>
        <v>269.7094576049999</v>
      </c>
      <c r="J44" s="167">
        <f>SUM('CH4'!J44,N2O!J44)</f>
        <v>342.02049</v>
      </c>
      <c r="K44" s="167">
        <f>SUM('CH4'!K44,N2O!K44)</f>
        <v>376.46258999999998</v>
      </c>
      <c r="L44" s="167">
        <f>SUM('CH4'!L44,N2O!L44)</f>
        <v>414.84682896499999</v>
      </c>
      <c r="M44" s="167">
        <f>SUM('CH4'!M44,N2O!M44)</f>
        <v>481.31689241999993</v>
      </c>
      <c r="N44" s="167">
        <f>SUM('CH4'!N44,N2O!N44)</f>
        <v>553.92136240000002</v>
      </c>
      <c r="O44" s="167">
        <f>SUM('CH4'!O44,N2O!O44)</f>
        <v>566.30654673999993</v>
      </c>
      <c r="P44" s="167">
        <f>SUM('CH4'!P44,N2O!P44)</f>
        <v>677.13171874999989</v>
      </c>
      <c r="Q44" s="167">
        <f>SUM('CH4'!Q44,N2O!Q44)</f>
        <v>683.68848792499989</v>
      </c>
      <c r="R44" s="167">
        <f>SUM('CH4'!R44,N2O!R44)</f>
        <v>698.66040886999997</v>
      </c>
      <c r="S44" s="167">
        <f>SUM('CH4'!S44,N2O!S44)</f>
        <v>691.39955536000002</v>
      </c>
      <c r="T44" s="167">
        <f>SUM('CH4'!T44,N2O!T44)</f>
        <v>704.70371102000001</v>
      </c>
      <c r="U44" s="167">
        <f>SUM('CH4'!U44,N2O!U44)</f>
        <v>754.06627033999985</v>
      </c>
      <c r="V44" s="167">
        <f>SUM('CH4'!V44,N2O!V44)</f>
        <v>743.12537782000015</v>
      </c>
      <c r="W44" s="167">
        <f>SUM('CH4'!W44,N2O!W44)</f>
        <v>762.69703759999993</v>
      </c>
      <c r="X44" s="167">
        <f>SUM('CH4'!X44,N2O!X44)</f>
        <v>757.8729616600001</v>
      </c>
      <c r="Y44" s="167">
        <f>SUM('CH4'!Y44,N2O!Y44)</f>
        <v>848.86990367999999</v>
      </c>
      <c r="Z44" s="167">
        <f>SUM('CH4'!Z44,N2O!Z44)</f>
        <v>885.14523103999977</v>
      </c>
      <c r="AA44" s="167">
        <f>SUM('CH4'!AA44,N2O!AA44)</f>
        <v>878.96271961999992</v>
      </c>
      <c r="AB44" s="167">
        <f>SUM('CH4'!AB44,N2O!AB44)</f>
        <v>950.98706046000007</v>
      </c>
      <c r="AC44" s="167">
        <f>SUM('CH4'!AC44,N2O!AC44)</f>
        <v>952.83242503999986</v>
      </c>
      <c r="AD44" s="167">
        <f>SUM('CH4'!AD44,N2O!AD44)</f>
        <v>977.31824433999986</v>
      </c>
      <c r="AE44" s="167">
        <f>SUM('CH4'!AE44,N2O!AE44)</f>
        <v>992.79035799999997</v>
      </c>
      <c r="AF44" s="167">
        <f>SUM('CH4'!AF44,N2O!AF44)</f>
        <v>963.34625699999992</v>
      </c>
      <c r="AG44" s="167">
        <f>SUM('CH4'!AG44,N2O!AG44)</f>
        <v>981.43663149999998</v>
      </c>
      <c r="AH44" s="167">
        <f>SUM('CH4'!AH44,N2O!AH44)</f>
        <v>979.74194749999992</v>
      </c>
      <c r="AI44" s="167">
        <f>SUM('CH4'!AI44,N2O!AI44)</f>
        <v>1058.0991974999999</v>
      </c>
      <c r="AJ44" s="167">
        <f>SUM('CH4'!AJ44,N2O!AJ44)</f>
        <v>1058.8411465199997</v>
      </c>
      <c r="AK44" s="167">
        <f>SUM('CH4'!AK44,N2O!AK44)</f>
        <v>1084.6426087050002</v>
      </c>
      <c r="AL44" s="167">
        <f>SUM('CH4'!AL44,N2O!AL44)</f>
        <v>1122.199563055</v>
      </c>
    </row>
    <row r="45" spans="2:38" s="150" customFormat="1" ht="18.75" customHeight="1">
      <c r="B45" s="19" t="s">
        <v>20</v>
      </c>
      <c r="C45" s="159" t="s">
        <v>3</v>
      </c>
      <c r="D45" s="168">
        <f>SUM('CH4'!D45,N2O!D45)</f>
        <v>4279.8959346849515</v>
      </c>
      <c r="E45" s="168">
        <f>SUM('CH4'!E45,N2O!E45)</f>
        <v>3679.4842454642421</v>
      </c>
      <c r="F45" s="168">
        <f>SUM('CH4'!F45,N2O!F45)</f>
        <v>3312.6917345792649</v>
      </c>
      <c r="G45" s="168">
        <f>SUM('CH4'!G45,N2O!G45)</f>
        <v>3131.2671263957345</v>
      </c>
      <c r="H45" s="168">
        <f>SUM('CH4'!H45,N2O!H45)</f>
        <v>2921.5954551110235</v>
      </c>
      <c r="I45" s="168">
        <f>SUM('CH4'!I45,N2O!I45)</f>
        <v>2927.3219358980209</v>
      </c>
      <c r="J45" s="168">
        <f>SUM('CH4'!J45,N2O!J45)</f>
        <v>2845.7817558055758</v>
      </c>
      <c r="K45" s="168">
        <f>SUM('CH4'!K45,N2O!K45)</f>
        <v>2761.9543266282208</v>
      </c>
      <c r="L45" s="168">
        <f>SUM('CH4'!L45,N2O!L45)</f>
        <v>2678.7351992246768</v>
      </c>
      <c r="M45" s="168">
        <f>SUM('CH4'!M45,N2O!M45)</f>
        <v>2672.6573888601142</v>
      </c>
      <c r="N45" s="168">
        <f>SUM('CH4'!N45,N2O!N45)</f>
        <v>2665.926183136392</v>
      </c>
      <c r="O45" s="168">
        <f>SUM('CH4'!O45,N2O!O45)</f>
        <v>2653.8036990704168</v>
      </c>
      <c r="P45" s="168">
        <f>SUM('CH4'!P45,N2O!P45)</f>
        <v>2623.8518773580754</v>
      </c>
      <c r="Q45" s="168">
        <f>SUM('CH4'!Q45,N2O!Q45)</f>
        <v>2592.9636234763448</v>
      </c>
      <c r="R45" s="168">
        <f>SUM('CH4'!R45,N2O!R45)</f>
        <v>2563.6624770685953</v>
      </c>
      <c r="S45" s="168">
        <f>SUM('CH4'!S45,N2O!S45)</f>
        <v>2539.2738085914361</v>
      </c>
      <c r="T45" s="168">
        <f>SUM('CH4'!T45,N2O!T45)</f>
        <v>2509.9401820113362</v>
      </c>
      <c r="U45" s="168">
        <f>SUM('CH4'!U45,N2O!U45)</f>
        <v>2480.398340151447</v>
      </c>
      <c r="V45" s="168">
        <f>SUM('CH4'!V45,N2O!V45)</f>
        <v>2447.8572891543017</v>
      </c>
      <c r="W45" s="168">
        <f>SUM('CH4'!W45,N2O!W45)</f>
        <v>2415.0277933509624</v>
      </c>
      <c r="X45" s="168">
        <f>SUM('CH4'!X45,N2O!X45)</f>
        <v>2382.5023084971881</v>
      </c>
      <c r="Y45" s="168">
        <f>SUM('CH4'!Y45,N2O!Y45)</f>
        <v>2353.7194550504428</v>
      </c>
      <c r="Z45" s="168">
        <f>SUM('CH4'!Z45,N2O!Z45)</f>
        <v>2327.7045550433004</v>
      </c>
      <c r="AA45" s="168">
        <f>SUM('CH4'!AA45,N2O!AA45)</f>
        <v>2301.0193939737387</v>
      </c>
      <c r="AB45" s="168">
        <f>SUM('CH4'!AB45,N2O!AB45)</f>
        <v>2277.8632152079435</v>
      </c>
      <c r="AC45" s="168">
        <f>SUM('CH4'!AC45,N2O!AC45)</f>
        <v>2262.9020460106221</v>
      </c>
      <c r="AD45" s="168">
        <f>SUM('CH4'!AD45,N2O!AD45)</f>
        <v>2235.2887751703711</v>
      </c>
      <c r="AE45" s="168">
        <f>SUM('CH4'!AE45,N2O!AE45)</f>
        <v>2215.4060624636481</v>
      </c>
      <c r="AF45" s="168">
        <f>SUM('CH4'!AF45,N2O!AF45)</f>
        <v>2190.3116644381607</v>
      </c>
      <c r="AG45" s="168">
        <f>SUM('CH4'!AG45,N2O!AG45)</f>
        <v>2165.3609667640226</v>
      </c>
      <c r="AH45" s="168">
        <f>SUM('CH4'!AH45,N2O!AH45)</f>
        <v>2136.371968310008</v>
      </c>
      <c r="AI45" s="168">
        <f>SUM('CH4'!AI45,N2O!AI45)</f>
        <v>2140.3688585390109</v>
      </c>
      <c r="AJ45" s="168">
        <f>SUM('CH4'!AJ45,N2O!AJ45)</f>
        <v>2128.7706950400429</v>
      </c>
      <c r="AK45" s="168">
        <f>SUM('CH4'!AK45,N2O!AK45)</f>
        <v>2131.5085348780185</v>
      </c>
      <c r="AL45" s="168">
        <f>SUM('CH4'!AL45,N2O!AL45)</f>
        <v>2133.4445605737274</v>
      </c>
    </row>
    <row r="46" spans="2:38" s="150" customFormat="1" ht="18.75" customHeight="1">
      <c r="B46" s="90" t="s">
        <v>29</v>
      </c>
      <c r="C46" s="160" t="s">
        <v>3</v>
      </c>
      <c r="D46" s="167">
        <f>SUM('CH4'!D46,N2O!D46)</f>
        <v>0</v>
      </c>
      <c r="E46" s="167">
        <f>SUM('CH4'!E46,N2O!E46)</f>
        <v>0</v>
      </c>
      <c r="F46" s="167">
        <f>SUM('CH4'!F46,N2O!F46)</f>
        <v>0</v>
      </c>
      <c r="G46" s="167">
        <f>SUM('CH4'!G46,N2O!G46)</f>
        <v>0</v>
      </c>
      <c r="H46" s="167">
        <f>SUM('CH4'!H46,N2O!H46)</f>
        <v>0</v>
      </c>
      <c r="I46" s="167">
        <f>SUM('CH4'!I46,N2O!I46)</f>
        <v>10.446325</v>
      </c>
      <c r="J46" s="167">
        <f>SUM('CH4'!J46,N2O!J46)</f>
        <v>21.697414004500001</v>
      </c>
      <c r="K46" s="167">
        <f>SUM('CH4'!K46,N2O!K46)</f>
        <v>33.752985364875002</v>
      </c>
      <c r="L46" s="167">
        <f>SUM('CH4'!L46,N2O!L46)</f>
        <v>46.613508495499993</v>
      </c>
      <c r="M46" s="167">
        <f>SUM('CH4'!M46,N2O!M46)</f>
        <v>60.278795630624998</v>
      </c>
      <c r="N46" s="167">
        <f>SUM('CH4'!N46,N2O!N46)</f>
        <v>81.052486915784996</v>
      </c>
      <c r="O46" s="167">
        <f>SUM('CH4'!O46,N2O!O46)</f>
        <v>90.238102482127502</v>
      </c>
      <c r="P46" s="167">
        <f>SUM('CH4'!P46,N2O!P46)</f>
        <v>107.66078375000001</v>
      </c>
      <c r="Q46" s="167">
        <f>SUM('CH4'!Q46,N2O!Q46)</f>
        <v>117.4169259375</v>
      </c>
      <c r="R46" s="167">
        <f>SUM('CH4'!R46,N2O!R46)</f>
        <v>133.210649375</v>
      </c>
      <c r="S46" s="167">
        <f>SUM('CH4'!S46,N2O!S46)</f>
        <v>239.38897500000002</v>
      </c>
      <c r="T46" s="167">
        <f>SUM('CH4'!T46,N2O!T46)</f>
        <v>32.470927979999999</v>
      </c>
      <c r="U46" s="167">
        <f>SUM('CH4'!U46,N2O!U46)</f>
        <v>32.834480429999999</v>
      </c>
      <c r="V46" s="167">
        <f>SUM('CH4'!V46,N2O!V46)</f>
        <v>34.671515339999999</v>
      </c>
      <c r="W46" s="167">
        <f>SUM('CH4'!W46,N2O!W46)</f>
        <v>35.415264809999996</v>
      </c>
      <c r="X46" s="167">
        <f>SUM('CH4'!X46,N2O!X46)</f>
        <v>36.388534139999997</v>
      </c>
      <c r="Y46" s="167">
        <f>SUM('CH4'!Y46,N2O!Y46)</f>
        <v>39.194458230000002</v>
      </c>
      <c r="Z46" s="167">
        <f>SUM('CH4'!Z46,N2O!Z46)</f>
        <v>37.363555529999999</v>
      </c>
      <c r="AA46" s="167">
        <f>SUM('CH4'!AA46,N2O!AA46)</f>
        <v>36.500665979999994</v>
      </c>
      <c r="AB46" s="167">
        <f>SUM('CH4'!AB46,N2O!AB46)</f>
        <v>36.857210189999996</v>
      </c>
      <c r="AC46" s="167">
        <f>SUM('CH4'!AC46,N2O!AC46)</f>
        <v>35.897957339999998</v>
      </c>
      <c r="AD46" s="167">
        <f>SUM('CH4'!AD46,N2O!AD46)</f>
        <v>34.584788369999998</v>
      </c>
      <c r="AE46" s="167">
        <f>SUM('CH4'!AE46,N2O!AE46)</f>
        <v>33.490626900000002</v>
      </c>
      <c r="AF46" s="167">
        <f>SUM('CH4'!AF46,N2O!AF46)</f>
        <v>33.033339239999997</v>
      </c>
      <c r="AG46" s="167">
        <f>SUM('CH4'!AG46,N2O!AG46)</f>
        <v>32.802067319999999</v>
      </c>
      <c r="AH46" s="167">
        <f>SUM('CH4'!AH46,N2O!AH46)</f>
        <v>32.233523849999997</v>
      </c>
      <c r="AI46" s="167">
        <f>SUM('CH4'!AI46,N2O!AI46)</f>
        <v>31.459989359999991</v>
      </c>
      <c r="AJ46" s="167">
        <f>SUM('CH4'!AJ46,N2O!AJ46)</f>
        <v>30.10126683</v>
      </c>
      <c r="AK46" s="167">
        <f>SUM('CH4'!AK46,N2O!AK46)</f>
        <v>28.742544299999999</v>
      </c>
      <c r="AL46" s="167">
        <f>SUM('CH4'!AL46,N2O!AL46)</f>
        <v>27.383821770000001</v>
      </c>
    </row>
    <row r="47" spans="2:38" s="150" customFormat="1" ht="18.75" customHeight="1">
      <c r="B47" s="19"/>
      <c r="C47" s="159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</row>
    <row r="48" spans="2:38" s="10" customFormat="1" ht="18.75" customHeight="1">
      <c r="B48" s="153" t="s">
        <v>128</v>
      </c>
      <c r="C48" s="22" t="s">
        <v>3</v>
      </c>
      <c r="D48" s="165">
        <f>SUMIF(D49:D54,"&lt;1E+307")</f>
        <v>36027.298159303769</v>
      </c>
      <c r="E48" s="165">
        <f t="shared" ref="E48:AJ48" si="34">SUMIF(E49:E54,"&lt;1E+307")</f>
        <v>-12834.28628163024</v>
      </c>
      <c r="F48" s="165">
        <f t="shared" si="34"/>
        <v>-17519.91306220174</v>
      </c>
      <c r="G48" s="165">
        <f t="shared" si="34"/>
        <v>-25322.617691866326</v>
      </c>
      <c r="H48" s="165">
        <f t="shared" si="34"/>
        <v>-17363.379059278726</v>
      </c>
      <c r="I48" s="165">
        <f t="shared" si="34"/>
        <v>-6590.0471294453364</v>
      </c>
      <c r="J48" s="165">
        <f t="shared" si="34"/>
        <v>-7191.5699832808541</v>
      </c>
      <c r="K48" s="165">
        <f t="shared" si="34"/>
        <v>-8411.6238080050352</v>
      </c>
      <c r="L48" s="165">
        <f t="shared" si="34"/>
        <v>-14807.074356540714</v>
      </c>
      <c r="M48" s="165">
        <f t="shared" si="34"/>
        <v>-10249.670830066854</v>
      </c>
      <c r="N48" s="165">
        <f t="shared" si="34"/>
        <v>4688.3946461722717</v>
      </c>
      <c r="O48" s="165">
        <f t="shared" si="34"/>
        <v>-2866.7720789340674</v>
      </c>
      <c r="P48" s="165">
        <f t="shared" si="34"/>
        <v>27300.738406737277</v>
      </c>
      <c r="Q48" s="165">
        <f t="shared" si="34"/>
        <v>37321.889670808516</v>
      </c>
      <c r="R48" s="165">
        <f t="shared" si="34"/>
        <v>25270.21957329342</v>
      </c>
      <c r="S48" s="165">
        <f t="shared" si="34"/>
        <v>21317.244371143184</v>
      </c>
      <c r="T48" s="165">
        <f t="shared" si="34"/>
        <v>11928.596326683035</v>
      </c>
      <c r="U48" s="165">
        <f t="shared" si="34"/>
        <v>3672.2092196474787</v>
      </c>
      <c r="V48" s="165">
        <f t="shared" si="34"/>
        <v>-2860.5911667698897</v>
      </c>
      <c r="W48" s="165">
        <f t="shared" si="34"/>
        <v>272.39369503909529</v>
      </c>
      <c r="X48" s="165">
        <f t="shared" si="34"/>
        <v>5304.9234598553048</v>
      </c>
      <c r="Y48" s="165">
        <f t="shared" si="34"/>
        <v>-1216.1016048939546</v>
      </c>
      <c r="Z48" s="165">
        <f t="shared" si="34"/>
        <v>2074.8070656587261</v>
      </c>
      <c r="AA48" s="165">
        <f t="shared" si="34"/>
        <v>-460.33766326283535</v>
      </c>
      <c r="AB48" s="165">
        <f t="shared" si="34"/>
        <v>10146.991527998154</v>
      </c>
      <c r="AC48" s="165">
        <f t="shared" si="34"/>
        <v>5731.4365002366821</v>
      </c>
      <c r="AD48" s="165">
        <f t="shared" si="34"/>
        <v>8876.5473450517911</v>
      </c>
      <c r="AE48" s="165">
        <f t="shared" si="34"/>
        <v>3986.957238616068</v>
      </c>
      <c r="AF48" s="165">
        <f t="shared" si="34"/>
        <v>83197.036627117908</v>
      </c>
      <c r="AG48" s="165">
        <f t="shared" si="34"/>
        <v>72121.025037815052</v>
      </c>
      <c r="AH48" s="165">
        <f t="shared" si="34"/>
        <v>76655.81256382211</v>
      </c>
      <c r="AI48" s="165">
        <f t="shared" si="34"/>
        <v>63087.230645732663</v>
      </c>
      <c r="AJ48" s="165">
        <f t="shared" si="34"/>
        <v>75603.466052821415</v>
      </c>
      <c r="AK48" s="165">
        <f t="shared" ref="AK48:AL48" si="35">SUMIF(AK49:AK54,"&lt;1E+307")</f>
        <v>68652.803898296479</v>
      </c>
      <c r="AL48" s="165">
        <f t="shared" si="35"/>
        <v>51288.697395783209</v>
      </c>
    </row>
    <row r="49" spans="2:38" s="150" customFormat="1" ht="18.75" customHeight="1">
      <c r="B49" s="19" t="s">
        <v>129</v>
      </c>
      <c r="C49" s="159" t="s">
        <v>3</v>
      </c>
      <c r="D49" s="168">
        <f>SUM('CO2'!D49,'CH4'!D49,N2O!D49)</f>
        <v>-25362.759934834146</v>
      </c>
      <c r="E49" s="168">
        <f>SUM('CO2'!E49,'CH4'!E49,N2O!E49)</f>
        <v>-79842.560367159065</v>
      </c>
      <c r="F49" s="168">
        <f>SUM('CO2'!F49,'CH4'!F49,N2O!F49)</f>
        <v>-84165.806869758249</v>
      </c>
      <c r="G49" s="168">
        <f>SUM('CO2'!G49,'CH4'!G49,N2O!G49)</f>
        <v>-84371.293219474726</v>
      </c>
      <c r="H49" s="168">
        <f>SUM('CO2'!H49,'CH4'!H49,N2O!H49)</f>
        <v>-76446.830740816178</v>
      </c>
      <c r="I49" s="168">
        <f>SUM('CO2'!I49,'CH4'!I49,N2O!I49)</f>
        <v>-68126.638835836231</v>
      </c>
      <c r="J49" s="168">
        <f>SUM('CO2'!J49,'CH4'!J49,N2O!J49)</f>
        <v>-71911.96983384325</v>
      </c>
      <c r="K49" s="168">
        <f>SUM('CO2'!K49,'CH4'!K49,N2O!K49)</f>
        <v>-71167.698706432246</v>
      </c>
      <c r="L49" s="168">
        <f>SUM('CO2'!L49,'CH4'!L49,N2O!L49)</f>
        <v>-67926.127620091473</v>
      </c>
      <c r="M49" s="168">
        <f>SUM('CO2'!M49,'CH4'!M49,N2O!M49)</f>
        <v>-69946.618731560709</v>
      </c>
      <c r="N49" s="168">
        <f>SUM('CO2'!N49,'CH4'!N49,N2O!N49)</f>
        <v>-51824.120430591203</v>
      </c>
      <c r="O49" s="168">
        <f>SUM('CO2'!O49,'CH4'!O49,N2O!O49)</f>
        <v>-67865.760582200892</v>
      </c>
      <c r="P49" s="168">
        <f>SUM('CO2'!P49,'CH4'!P49,N2O!P49)</f>
        <v>-33941.66061742646</v>
      </c>
      <c r="Q49" s="168">
        <f>SUM('CO2'!Q49,'CH4'!Q49,N2O!Q49)</f>
        <v>-34353.982949148034</v>
      </c>
      <c r="R49" s="168">
        <f>SUM('CO2'!R49,'CH4'!R49,N2O!R49)</f>
        <v>-33660.435339573014</v>
      </c>
      <c r="S49" s="168">
        <f>SUM('CO2'!S49,'CH4'!S49,N2O!S49)</f>
        <v>-33040.420256015073</v>
      </c>
      <c r="T49" s="168">
        <f>SUM('CO2'!T49,'CH4'!T49,N2O!T49)</f>
        <v>-32031.890065008993</v>
      </c>
      <c r="U49" s="168">
        <f>SUM('CO2'!U49,'CH4'!U49,N2O!U49)</f>
        <v>-29068.196862846024</v>
      </c>
      <c r="V49" s="168">
        <f>SUM('CO2'!V49,'CH4'!V49,N2O!V49)</f>
        <v>-50454.168454141371</v>
      </c>
      <c r="W49" s="168">
        <f>SUM('CO2'!W49,'CH4'!W49,N2O!W49)</f>
        <v>-48128.576926412556</v>
      </c>
      <c r="X49" s="168">
        <f>SUM('CO2'!X49,'CH4'!X49,N2O!X49)</f>
        <v>-40182.540564107985</v>
      </c>
      <c r="Y49" s="168">
        <f>SUM('CO2'!Y49,'CH4'!Y49,N2O!Y49)</f>
        <v>-46831.226379519874</v>
      </c>
      <c r="Z49" s="168">
        <f>SUM('CO2'!Z49,'CH4'!Z49,N2O!Z49)</f>
        <v>-46784.92984191548</v>
      </c>
      <c r="AA49" s="168">
        <f>SUM('CO2'!AA49,'CH4'!AA49,N2O!AA49)</f>
        <v>-53476.112446856445</v>
      </c>
      <c r="AB49" s="168">
        <f>SUM('CO2'!AB49,'CH4'!AB49,N2O!AB49)</f>
        <v>-44787.513459757298</v>
      </c>
      <c r="AC49" s="168">
        <f>SUM('CO2'!AC49,'CH4'!AC49,N2O!AC49)</f>
        <v>-47437.456930177883</v>
      </c>
      <c r="AD49" s="168">
        <f>SUM('CO2'!AD49,'CH4'!AD49,N2O!AD49)</f>
        <v>-47800.890145536978</v>
      </c>
      <c r="AE49" s="168">
        <f>SUM('CO2'!AE49,'CH4'!AE49,N2O!AE49)</f>
        <v>-44299.574903028792</v>
      </c>
      <c r="AF49" s="168">
        <f>SUM('CO2'!AF49,'CH4'!AF49,N2O!AF49)</f>
        <v>23043.529250088908</v>
      </c>
      <c r="AG49" s="168">
        <f>SUM('CO2'!AG49,'CH4'!AG49,N2O!AG49)</f>
        <v>18307.004791122694</v>
      </c>
      <c r="AH49" s="168">
        <f>SUM('CO2'!AH49,'CH4'!AH49,N2O!AH49)</f>
        <v>24201.647964381125</v>
      </c>
      <c r="AI49" s="168">
        <f>SUM('CO2'!AI49,'CH4'!AI49,N2O!AI49)</f>
        <v>15944.698202466201</v>
      </c>
      <c r="AJ49" s="168">
        <f>SUM('CO2'!AJ49,'CH4'!AJ49,N2O!AJ49)</f>
        <v>18751.058409265581</v>
      </c>
      <c r="AK49" s="168">
        <f>SUM('CO2'!AK49,'CH4'!AK49,N2O!AK49)</f>
        <v>20926.149173960119</v>
      </c>
      <c r="AL49" s="168">
        <f>SUM('CO2'!AL49,'CH4'!AL49,N2O!AL49)</f>
        <v>540.68522377169984</v>
      </c>
    </row>
    <row r="50" spans="2:38" s="150" customFormat="1" ht="18.75" customHeight="1">
      <c r="B50" s="90" t="s">
        <v>130</v>
      </c>
      <c r="C50" s="160" t="s">
        <v>3</v>
      </c>
      <c r="D50" s="167">
        <f>SUM('CO2'!D50,'CH4'!D50,N2O!D50)</f>
        <v>20856.536143314701</v>
      </c>
      <c r="E50" s="167">
        <f>SUM('CO2'!E50,'CH4'!E50,N2O!E50)</f>
        <v>21414.279165608426</v>
      </c>
      <c r="F50" s="167">
        <f>SUM('CO2'!F50,'CH4'!F50,N2O!F50)</f>
        <v>21101.890830512537</v>
      </c>
      <c r="G50" s="167">
        <f>SUM('CO2'!G50,'CH4'!G50,N2O!G50)</f>
        <v>19796.606023938522</v>
      </c>
      <c r="H50" s="167">
        <f>SUM('CO2'!H50,'CH4'!H50,N2O!H50)</f>
        <v>20152.633462682625</v>
      </c>
      <c r="I50" s="167">
        <f>SUM('CO2'!I50,'CH4'!I50,N2O!I50)</f>
        <v>20710.311458748387</v>
      </c>
      <c r="J50" s="167">
        <f>SUM('CO2'!J50,'CH4'!J50,N2O!J50)</f>
        <v>21354.882204758276</v>
      </c>
      <c r="K50" s="167">
        <f>SUM('CO2'!K50,'CH4'!K50,N2O!K50)</f>
        <v>21242.721916982962</v>
      </c>
      <c r="L50" s="167">
        <f>SUM('CO2'!L50,'CH4'!L50,N2O!L50)</f>
        <v>19260.314429294282</v>
      </c>
      <c r="M50" s="167">
        <f>SUM('CO2'!M50,'CH4'!M50,N2O!M50)</f>
        <v>20602.855332159255</v>
      </c>
      <c r="N50" s="167">
        <f>SUM('CO2'!N50,'CH4'!N50,N2O!N50)</f>
        <v>20375.546862508054</v>
      </c>
      <c r="O50" s="167">
        <f>SUM('CO2'!O50,'CH4'!O50,N2O!O50)</f>
        <v>20700.372724121029</v>
      </c>
      <c r="P50" s="167">
        <f>SUM('CO2'!P50,'CH4'!P50,N2O!P50)</f>
        <v>20625.31509546276</v>
      </c>
      <c r="Q50" s="167">
        <f>SUM('CO2'!Q50,'CH4'!Q50,N2O!Q50)</f>
        <v>22886.17050210372</v>
      </c>
      <c r="R50" s="167">
        <f>SUM('CO2'!R50,'CH4'!R50,N2O!R50)</f>
        <v>21543.394714653754</v>
      </c>
      <c r="S50" s="167">
        <f>SUM('CO2'!S50,'CH4'!S50,N2O!S50)</f>
        <v>22465.877639186147</v>
      </c>
      <c r="T50" s="167">
        <f>SUM('CO2'!T50,'CH4'!T50,N2O!T50)</f>
        <v>20995.788593097095</v>
      </c>
      <c r="U50" s="167">
        <f>SUM('CO2'!U50,'CH4'!U50,N2O!U50)</f>
        <v>19229.315449215643</v>
      </c>
      <c r="V50" s="167">
        <f>SUM('CO2'!V50,'CH4'!V50,N2O!V50)</f>
        <v>20449.30517134683</v>
      </c>
      <c r="W50" s="167">
        <f>SUM('CO2'!W50,'CH4'!W50,N2O!W50)</f>
        <v>20789.306674403721</v>
      </c>
      <c r="X50" s="167">
        <f>SUM('CO2'!X50,'CH4'!X50,N2O!X50)</f>
        <v>20289.520476664751</v>
      </c>
      <c r="Y50" s="167">
        <f>SUM('CO2'!Y50,'CH4'!Y50,N2O!Y50)</f>
        <v>21042.046262854758</v>
      </c>
      <c r="Z50" s="167">
        <f>SUM('CO2'!Z50,'CH4'!Z50,N2O!Z50)</f>
        <v>21363.975260228759</v>
      </c>
      <c r="AA50" s="167">
        <f>SUM('CO2'!AA50,'CH4'!AA50,N2O!AA50)</f>
        <v>21667.131812677206</v>
      </c>
      <c r="AB50" s="167">
        <f>SUM('CO2'!AB50,'CH4'!AB50,N2O!AB50)</f>
        <v>22058.010725999196</v>
      </c>
      <c r="AC50" s="167">
        <f>SUM('CO2'!AC50,'CH4'!AC50,N2O!AC50)</f>
        <v>21507.379795632438</v>
      </c>
      <c r="AD50" s="167">
        <f>SUM('CO2'!AD50,'CH4'!AD50,N2O!AD50)</f>
        <v>22481.889139964795</v>
      </c>
      <c r="AE50" s="167">
        <f>SUM('CO2'!AE50,'CH4'!AE50,N2O!AE50)</f>
        <v>21017.940313291765</v>
      </c>
      <c r="AF50" s="167">
        <f>SUM('CO2'!AF50,'CH4'!AF50,N2O!AF50)</f>
        <v>23153.909449072773</v>
      </c>
      <c r="AG50" s="167">
        <f>SUM('CO2'!AG50,'CH4'!AG50,N2O!AG50)</f>
        <v>22475.804648995661</v>
      </c>
      <c r="AH50" s="167">
        <f>SUM('CO2'!AH50,'CH4'!AH50,N2O!AH50)</f>
        <v>22460.577512838223</v>
      </c>
      <c r="AI50" s="167">
        <f>SUM('CO2'!AI50,'CH4'!AI50,N2O!AI50)</f>
        <v>21419.72023349988</v>
      </c>
      <c r="AJ50" s="167">
        <f>SUM('CO2'!AJ50,'CH4'!AJ50,N2O!AJ50)</f>
        <v>22052.306396504187</v>
      </c>
      <c r="AK50" s="167">
        <f>SUM('CO2'!AK50,'CH4'!AK50,N2O!AK50)</f>
        <v>20055.065451183578</v>
      </c>
      <c r="AL50" s="167">
        <f>SUM('CO2'!AL50,'CH4'!AL50,N2O!AL50)</f>
        <v>20081.753148455995</v>
      </c>
    </row>
    <row r="51" spans="2:38" s="150" customFormat="1" ht="18.75" customHeight="1">
      <c r="B51" s="19" t="s">
        <v>133</v>
      </c>
      <c r="C51" s="159" t="s">
        <v>3</v>
      </c>
      <c r="D51" s="168">
        <f>SUM('CO2'!D51,'CH4'!D51,N2O!D51)</f>
        <v>32270.607001825498</v>
      </c>
      <c r="E51" s="168">
        <f>SUM('CO2'!E51,'CH4'!E51,N2O!E51)</f>
        <v>34055.095987067783</v>
      </c>
      <c r="F51" s="168">
        <f>SUM('CO2'!F51,'CH4'!F51,N2O!F51)</f>
        <v>34692.365564879903</v>
      </c>
      <c r="G51" s="168">
        <f>SUM('CO2'!G51,'CH4'!G51,N2O!G51)</f>
        <v>29251.090055657412</v>
      </c>
      <c r="H51" s="168">
        <f>SUM('CO2'!H51,'CH4'!H51,N2O!H51)</f>
        <v>31673.120851216987</v>
      </c>
      <c r="I51" s="168">
        <f>SUM('CO2'!I51,'CH4'!I51,N2O!I51)</f>
        <v>33503.166602887839</v>
      </c>
      <c r="J51" s="168">
        <f>SUM('CO2'!J51,'CH4'!J51,N2O!J51)</f>
        <v>35407.045999465096</v>
      </c>
      <c r="K51" s="168">
        <f>SUM('CO2'!K51,'CH4'!K51,N2O!K51)</f>
        <v>34881.669274818254</v>
      </c>
      <c r="L51" s="168">
        <f>SUM('CO2'!L51,'CH4'!L51,N2O!L51)</f>
        <v>28993.363530978055</v>
      </c>
      <c r="M51" s="168">
        <f>SUM('CO2'!M51,'CH4'!M51,N2O!M51)</f>
        <v>34137.616940116859</v>
      </c>
      <c r="N51" s="168">
        <f>SUM('CO2'!N51,'CH4'!N51,N2O!N51)</f>
        <v>33126.821779823178</v>
      </c>
      <c r="O51" s="168">
        <f>SUM('CO2'!O51,'CH4'!O51,N2O!O51)</f>
        <v>36211.687526801281</v>
      </c>
      <c r="P51" s="168">
        <f>SUM('CO2'!P51,'CH4'!P51,N2O!P51)</f>
        <v>34811.416928685125</v>
      </c>
      <c r="Q51" s="168">
        <f>SUM('CO2'!Q51,'CH4'!Q51,N2O!Q51)</f>
        <v>42676.71408186503</v>
      </c>
      <c r="R51" s="168">
        <f>SUM('CO2'!R51,'CH4'!R51,N2O!R51)</f>
        <v>36368.704003804611</v>
      </c>
      <c r="S51" s="168">
        <f>SUM('CO2'!S51,'CH4'!S51,N2O!S51)</f>
        <v>34929.506391546041</v>
      </c>
      <c r="T51" s="168">
        <f>SUM('CO2'!T51,'CH4'!T51,N2O!T51)</f>
        <v>30243.0561884409</v>
      </c>
      <c r="U51" s="168">
        <f>SUM('CO2'!U51,'CH4'!U51,N2O!U51)</f>
        <v>23198.09246709336</v>
      </c>
      <c r="V51" s="168">
        <f>SUM('CO2'!V51,'CH4'!V51,N2O!V51)</f>
        <v>26501.797078436142</v>
      </c>
      <c r="W51" s="168">
        <f>SUM('CO2'!W51,'CH4'!W51,N2O!W51)</f>
        <v>26847.057872051617</v>
      </c>
      <c r="X51" s="168">
        <f>SUM('CO2'!X51,'CH4'!X51,N2O!X51)</f>
        <v>23291.442242114274</v>
      </c>
      <c r="Y51" s="168">
        <f>SUM('CO2'!Y51,'CH4'!Y51,N2O!Y51)</f>
        <v>21683.036628193324</v>
      </c>
      <c r="Z51" s="168">
        <f>SUM('CO2'!Z51,'CH4'!Z51,N2O!Z51)</f>
        <v>22758.807752403431</v>
      </c>
      <c r="AA51" s="168">
        <f>SUM('CO2'!AA51,'CH4'!AA51,N2O!AA51)</f>
        <v>25135.757078519102</v>
      </c>
      <c r="AB51" s="168">
        <f>SUM('CO2'!AB51,'CH4'!AB51,N2O!AB51)</f>
        <v>26589.830311952115</v>
      </c>
      <c r="AC51" s="168">
        <f>SUM('CO2'!AC51,'CH4'!AC51,N2O!AC51)</f>
        <v>25583.23120007772</v>
      </c>
      <c r="AD51" s="168">
        <f>SUM('CO2'!AD51,'CH4'!AD51,N2O!AD51)</f>
        <v>27995.656891042723</v>
      </c>
      <c r="AE51" s="168">
        <f>SUM('CO2'!AE51,'CH4'!AE51,N2O!AE51)</f>
        <v>22863.897068977589</v>
      </c>
      <c r="AF51" s="168">
        <f>SUM('CO2'!AF51,'CH4'!AF51,N2O!AF51)</f>
        <v>31770.900080390224</v>
      </c>
      <c r="AG51" s="168">
        <f>SUM('CO2'!AG51,'CH4'!AG51,N2O!AG51)</f>
        <v>28262.029416859055</v>
      </c>
      <c r="AH51" s="168">
        <f>SUM('CO2'!AH51,'CH4'!AH51,N2O!AH51)</f>
        <v>28116.12974960843</v>
      </c>
      <c r="AI51" s="168">
        <f>SUM('CO2'!AI51,'CH4'!AI51,N2O!AI51)</f>
        <v>24454.530186930795</v>
      </c>
      <c r="AJ51" s="168">
        <f>SUM('CO2'!AJ51,'CH4'!AJ51,N2O!AJ51)</f>
        <v>28814.598285687855</v>
      </c>
      <c r="AK51" s="168">
        <f>SUM('CO2'!AK51,'CH4'!AK51,N2O!AK51)</f>
        <v>23704.284969068092</v>
      </c>
      <c r="AL51" s="168">
        <f>SUM('CO2'!AL51,'CH4'!AL51,N2O!AL51)</f>
        <v>24270.302127765572</v>
      </c>
    </row>
    <row r="52" spans="2:38" s="150" customFormat="1" ht="18.75" customHeight="1">
      <c r="B52" s="90" t="s">
        <v>134</v>
      </c>
      <c r="C52" s="160" t="s">
        <v>3</v>
      </c>
      <c r="D52" s="167">
        <f>SUM('CO2'!D52,'CH4'!D52,N2O!D52)</f>
        <v>9146.289496220712</v>
      </c>
      <c r="E52" s="167">
        <f>SUM('CO2'!E52,'CH4'!E52,N2O!E52)</f>
        <v>9630.2133283478452</v>
      </c>
      <c r="F52" s="167">
        <f>SUM('CO2'!F52,'CH4'!F52,N2O!F52)</f>
        <v>9779.8742034449679</v>
      </c>
      <c r="G52" s="167">
        <f>SUM('CO2'!G52,'CH4'!G52,N2O!G52)</f>
        <v>8785.3772874191782</v>
      </c>
      <c r="H52" s="167">
        <f>SUM('CO2'!H52,'CH4'!H52,N2O!H52)</f>
        <v>9218.1047124742581</v>
      </c>
      <c r="I52" s="167">
        <f>SUM('CO2'!I52,'CH4'!I52,N2O!I52)</f>
        <v>9549.5240877287415</v>
      </c>
      <c r="J52" s="167">
        <f>SUM('CO2'!J52,'CH4'!J52,N2O!J52)</f>
        <v>10078.996796334966</v>
      </c>
      <c r="K52" s="167">
        <f>SUM('CO2'!K52,'CH4'!K52,N2O!K52)</f>
        <v>9790.1456447700457</v>
      </c>
      <c r="L52" s="167">
        <f>SUM('CO2'!L52,'CH4'!L52,N2O!L52)</f>
        <v>8697.463976606994</v>
      </c>
      <c r="M52" s="167">
        <f>SUM('CO2'!M52,'CH4'!M52,N2O!M52)</f>
        <v>9869.655476535685</v>
      </c>
      <c r="N52" s="167">
        <f>SUM('CO2'!N52,'CH4'!N52,N2O!N52)</f>
        <v>9657.8420862948551</v>
      </c>
      <c r="O52" s="167">
        <f>SUM('CO2'!O52,'CH4'!O52,N2O!O52)</f>
        <v>9025.545421538247</v>
      </c>
      <c r="P52" s="167">
        <f>SUM('CO2'!P52,'CH4'!P52,N2O!P52)</f>
        <v>8453.1664681707971</v>
      </c>
      <c r="Q52" s="167">
        <f>SUM('CO2'!Q52,'CH4'!Q52,N2O!Q52)</f>
        <v>10304.994890492355</v>
      </c>
      <c r="R52" s="167">
        <f>SUM('CO2'!R52,'CH4'!R52,N2O!R52)</f>
        <v>9121.6578363122499</v>
      </c>
      <c r="S52" s="167">
        <f>SUM('CO2'!S52,'CH4'!S52,N2O!S52)</f>
        <v>9390.2719886304712</v>
      </c>
      <c r="T52" s="167">
        <f>SUM('CO2'!T52,'CH4'!T52,N2O!T52)</f>
        <v>9963.4509269022874</v>
      </c>
      <c r="U52" s="167">
        <f>SUM('CO2'!U52,'CH4'!U52,N2O!U52)</f>
        <v>8980.4244938897245</v>
      </c>
      <c r="V52" s="167">
        <f>SUM('CO2'!V52,'CH4'!V52,N2O!V52)</f>
        <v>9601.3780850498169</v>
      </c>
      <c r="W52" s="167">
        <f>SUM('CO2'!W52,'CH4'!W52,N2O!W52)</f>
        <v>9817.1831529110459</v>
      </c>
      <c r="X52" s="167">
        <f>SUM('CO2'!X52,'CH4'!X52,N2O!X52)</f>
        <v>9275.8088710265074</v>
      </c>
      <c r="Y52" s="167">
        <f>SUM('CO2'!Y52,'CH4'!Y52,N2O!Y52)</f>
        <v>9537.9671859513619</v>
      </c>
      <c r="Z52" s="167">
        <f>SUM('CO2'!Z52,'CH4'!Z52,N2O!Z52)</f>
        <v>9536.1198881574255</v>
      </c>
      <c r="AA52" s="167">
        <f>SUM('CO2'!AA52,'CH4'!AA52,N2O!AA52)</f>
        <v>9524.1962875164372</v>
      </c>
      <c r="AB52" s="167">
        <f>SUM('CO2'!AB52,'CH4'!AB52,N2O!AB52)</f>
        <v>9689.4206578725352</v>
      </c>
      <c r="AC52" s="167">
        <f>SUM('CO2'!AC52,'CH4'!AC52,N2O!AC52)</f>
        <v>9244.1853824860482</v>
      </c>
      <c r="AD52" s="167">
        <f>SUM('CO2'!AD52,'CH4'!AD52,N2O!AD52)</f>
        <v>9775.6790294840048</v>
      </c>
      <c r="AE52" s="167">
        <f>SUM('CO2'!AE52,'CH4'!AE52,N2O!AE52)</f>
        <v>8739.0877059539216</v>
      </c>
      <c r="AF52" s="167">
        <f>SUM('CO2'!AF52,'CH4'!AF52,N2O!AF52)</f>
        <v>10770.291503727747</v>
      </c>
      <c r="AG52" s="167">
        <f>SUM('CO2'!AG52,'CH4'!AG52,N2O!AG52)</f>
        <v>10016.165095084178</v>
      </c>
      <c r="AH52" s="167">
        <f>SUM('CO2'!AH52,'CH4'!AH52,N2O!AH52)</f>
        <v>10239.63321650983</v>
      </c>
      <c r="AI52" s="167">
        <f>SUM('CO2'!AI52,'CH4'!AI52,N2O!AI52)</f>
        <v>9616.3809357475548</v>
      </c>
      <c r="AJ52" s="167">
        <f>SUM('CO2'!AJ52,'CH4'!AJ52,N2O!AJ52)</f>
        <v>10529.33965185353</v>
      </c>
      <c r="AK52" s="167">
        <f>SUM('CO2'!AK52,'CH4'!AK52,N2O!AK52)</f>
        <v>8767.2559527528429</v>
      </c>
      <c r="AL52" s="167">
        <f>SUM('CO2'!AL52,'CH4'!AL52,N2O!AL52)</f>
        <v>8791.4971277257009</v>
      </c>
    </row>
    <row r="53" spans="2:38" s="150" customFormat="1" ht="18.75" customHeight="1">
      <c r="B53" s="19" t="s">
        <v>135</v>
      </c>
      <c r="C53" s="159" t="s">
        <v>3</v>
      </c>
      <c r="D53" s="168">
        <f>SUM('CO2'!D53,'CH4'!D53,N2O!D53)</f>
        <v>457.23686018700698</v>
      </c>
      <c r="E53" s="168">
        <f>SUM('CO2'!E53,'CH4'!E53,N2O!E53)</f>
        <v>550.86594240476677</v>
      </c>
      <c r="F53" s="168">
        <f>SUM('CO2'!F53,'CH4'!F53,N2O!F53)</f>
        <v>505.40914083410013</v>
      </c>
      <c r="G53" s="168">
        <f>SUM('CO2'!G53,'CH4'!G53,N2O!G53)</f>
        <v>383.94071970328605</v>
      </c>
      <c r="H53" s="168">
        <f>SUM('CO2'!H53,'CH4'!H53,N2O!H53)</f>
        <v>416.13691686357663</v>
      </c>
      <c r="I53" s="168">
        <f>SUM('CO2'!I53,'CH4'!I53,N2O!I53)</f>
        <v>454.67849902292664</v>
      </c>
      <c r="J53" s="168">
        <f>SUM('CO2'!J53,'CH4'!J53,N2O!J53)</f>
        <v>546.5914032240546</v>
      </c>
      <c r="K53" s="168">
        <f>SUM('CO2'!K53,'CH4'!K53,N2O!K53)</f>
        <v>539.87777695594832</v>
      </c>
      <c r="L53" s="168">
        <f>SUM('CO2'!L53,'CH4'!L53,N2O!L53)</f>
        <v>264.9222319614297</v>
      </c>
      <c r="M53" s="168">
        <f>SUM('CO2'!M53,'CH4'!M53,N2O!M53)</f>
        <v>446.18368340205689</v>
      </c>
      <c r="N53" s="168">
        <f>SUM('CO2'!N53,'CH4'!N53,N2O!N53)</f>
        <v>423.08241463738887</v>
      </c>
      <c r="O53" s="168">
        <f>SUM('CO2'!O53,'CH4'!O53,N2O!O53)</f>
        <v>4422.3819369062676</v>
      </c>
      <c r="P53" s="168">
        <f>SUM('CO2'!P53,'CH4'!P53,N2O!P53)</f>
        <v>4529.7678519840547</v>
      </c>
      <c r="Q53" s="168">
        <f>SUM('CO2'!Q53,'CH4'!Q53,N2O!Q53)</f>
        <v>4469.2197775054447</v>
      </c>
      <c r="R53" s="168">
        <f>SUM('CO2'!R53,'CH4'!R53,N2O!R53)</f>
        <v>4019.5519953658127</v>
      </c>
      <c r="S53" s="168">
        <f>SUM('CO2'!S53,'CH4'!S53,N2O!S53)</f>
        <v>2504.7476938955988</v>
      </c>
      <c r="T53" s="168">
        <f>SUM('CO2'!T53,'CH4'!T53,N2O!T53)</f>
        <v>-1030.8469237482516</v>
      </c>
      <c r="U53" s="168">
        <f>SUM('CO2'!U53,'CH4'!U53,N2O!U53)</f>
        <v>-2703.5677104052284</v>
      </c>
      <c r="V53" s="168">
        <f>SUM('CO2'!V53,'CH4'!V53,N2O!V53)</f>
        <v>-3320.1714034613092</v>
      </c>
      <c r="W53" s="168">
        <f>SUM('CO2'!W53,'CH4'!W53,N2O!W53)</f>
        <v>-3498.6908811147327</v>
      </c>
      <c r="X53" s="168">
        <f>SUM('CO2'!X53,'CH4'!X53,N2O!X53)</f>
        <v>-3353.7322104422428</v>
      </c>
      <c r="Y53" s="168">
        <f>SUM('CO2'!Y53,'CH4'!Y53,N2O!Y53)</f>
        <v>-2827.3205004735237</v>
      </c>
      <c r="Z53" s="168">
        <f>SUM('CO2'!Z53,'CH4'!Z53,N2O!Z53)</f>
        <v>-2049.9132151254094</v>
      </c>
      <c r="AA53" s="168">
        <f>SUM('CO2'!AA53,'CH4'!AA53,N2O!AA53)</f>
        <v>-1686.3006702391351</v>
      </c>
      <c r="AB53" s="168">
        <f>SUM('CO2'!AB53,'CH4'!AB53,N2O!AB53)</f>
        <v>-1235.770149728397</v>
      </c>
      <c r="AC53" s="168">
        <f>SUM('CO2'!AC53,'CH4'!AC53,N2O!AC53)</f>
        <v>-1390.8608564116414</v>
      </c>
      <c r="AD53" s="168">
        <f>SUM('CO2'!AD53,'CH4'!AD53,N2O!AD53)</f>
        <v>-1745.403426122753</v>
      </c>
      <c r="AE53" s="168">
        <f>SUM('CO2'!AE53,'CH4'!AE53,N2O!AE53)</f>
        <v>-1842.274799528416</v>
      </c>
      <c r="AF53" s="168">
        <f>SUM('CO2'!AF53,'CH4'!AF53,N2O!AF53)</f>
        <v>-919.40334076174258</v>
      </c>
      <c r="AG53" s="168">
        <f>SUM('CO2'!AG53,'CH4'!AG53,N2O!AG53)</f>
        <v>-1302.5790003465368</v>
      </c>
      <c r="AH53" s="168">
        <f>SUM('CO2'!AH53,'CH4'!AH53,N2O!AH53)</f>
        <v>-898.35526491550172</v>
      </c>
      <c r="AI53" s="168">
        <f>SUM('CO2'!AI53,'CH4'!AI53,N2O!AI53)</f>
        <v>-758.40476791176559</v>
      </c>
      <c r="AJ53" s="168">
        <f>SUM('CO2'!AJ53,'CH4'!AJ53,N2O!AJ53)</f>
        <v>-262.12723238973933</v>
      </c>
      <c r="AK53" s="168">
        <f>SUM('CO2'!AK53,'CH4'!AK53,N2O!AK53)</f>
        <v>-195.46035856814277</v>
      </c>
      <c r="AL53" s="168">
        <f>SUM('CO2'!AL53,'CH4'!AL53,N2O!AL53)</f>
        <v>-168.99706737574911</v>
      </c>
    </row>
    <row r="54" spans="2:38" s="150" customFormat="1" ht="18.75" customHeight="1">
      <c r="B54" s="90" t="s">
        <v>131</v>
      </c>
      <c r="C54" s="160" t="s">
        <v>3</v>
      </c>
      <c r="D54" s="167">
        <f>SUM('CO2'!D54,'CH4'!D54,N2O!D54)</f>
        <v>-1340.6114074100001</v>
      </c>
      <c r="E54" s="167">
        <f>SUM('CO2'!E54,'CH4'!E54,N2O!E54)</f>
        <v>1357.8196620999997</v>
      </c>
      <c r="F54" s="167">
        <f>SUM('CO2'!F54,'CH4'!F54,N2O!F54)</f>
        <v>566.35406788499995</v>
      </c>
      <c r="G54" s="167">
        <f>SUM('CO2'!G54,'CH4'!G54,N2O!G54)</f>
        <v>831.66144088999999</v>
      </c>
      <c r="H54" s="167">
        <f>SUM('CO2'!H54,'CH4'!H54,N2O!H54)</f>
        <v>-2376.5442616999999</v>
      </c>
      <c r="I54" s="167">
        <f>SUM('CO2'!I54,'CH4'!I54,N2O!I54)</f>
        <v>-2681.0889419969994</v>
      </c>
      <c r="J54" s="167">
        <f>SUM('CO2'!J54,'CH4'!J54,N2O!J54)</f>
        <v>-2667.1165532200002</v>
      </c>
      <c r="K54" s="167">
        <f>SUM('CO2'!K54,'CH4'!K54,N2O!K54)</f>
        <v>-3698.3397150999999</v>
      </c>
      <c r="L54" s="167">
        <f>SUM('CO2'!L54,'CH4'!L54,N2O!L54)</f>
        <v>-4097.0109052899998</v>
      </c>
      <c r="M54" s="167">
        <f>SUM('CO2'!M54,'CH4'!M54,N2O!M54)</f>
        <v>-5359.3635307200002</v>
      </c>
      <c r="N54" s="167">
        <f>SUM('CO2'!N54,'CH4'!N54,N2O!N54)</f>
        <v>-7070.7780665000009</v>
      </c>
      <c r="O54" s="167">
        <f>SUM('CO2'!O54,'CH4'!O54,N2O!O54)</f>
        <v>-5360.9991061000001</v>
      </c>
      <c r="P54" s="167">
        <f>SUM('CO2'!P54,'CH4'!P54,N2O!P54)</f>
        <v>-7177.2673201389998</v>
      </c>
      <c r="Q54" s="167">
        <f>SUM('CO2'!Q54,'CH4'!Q54,N2O!Q54)</f>
        <v>-8661.2266320100007</v>
      </c>
      <c r="R54" s="167">
        <f>SUM('CO2'!R54,'CH4'!R54,N2O!R54)</f>
        <v>-12122.653637269997</v>
      </c>
      <c r="S54" s="167">
        <f>SUM('CO2'!S54,'CH4'!S54,N2O!S54)</f>
        <v>-14932.7390861</v>
      </c>
      <c r="T54" s="167">
        <f>SUM('CO2'!T54,'CH4'!T54,N2O!T54)</f>
        <v>-16210.962393</v>
      </c>
      <c r="U54" s="167">
        <f>SUM('CO2'!U54,'CH4'!U54,N2O!U54)</f>
        <v>-15963.858617299999</v>
      </c>
      <c r="V54" s="167">
        <f>SUM('CO2'!V54,'CH4'!V54,N2O!V54)</f>
        <v>-5638.7316439999995</v>
      </c>
      <c r="W54" s="167">
        <f>SUM('CO2'!W54,'CH4'!W54,N2O!W54)</f>
        <v>-5553.8861967999992</v>
      </c>
      <c r="X54" s="167">
        <f>SUM('CO2'!X54,'CH4'!X54,N2O!X54)</f>
        <v>-4015.5753553999998</v>
      </c>
      <c r="Y54" s="167">
        <f>SUM('CO2'!Y54,'CH4'!Y54,N2O!Y54)</f>
        <v>-3820.6048019</v>
      </c>
      <c r="Z54" s="167">
        <f>SUM('CO2'!Z54,'CH4'!Z54,N2O!Z54)</f>
        <v>-2749.25277809</v>
      </c>
      <c r="AA54" s="167">
        <f>SUM('CO2'!AA54,'CH4'!AA54,N2O!AA54)</f>
        <v>-1625.0097248800002</v>
      </c>
      <c r="AB54" s="167">
        <f>SUM('CO2'!AB54,'CH4'!AB54,N2O!AB54)</f>
        <v>-2166.9865583399996</v>
      </c>
      <c r="AC54" s="167">
        <f>SUM('CO2'!AC54,'CH4'!AC54,N2O!AC54)</f>
        <v>-1775.04209137</v>
      </c>
      <c r="AD54" s="167">
        <f>SUM('CO2'!AD54,'CH4'!AD54,N2O!AD54)</f>
        <v>-1830.3841437800002</v>
      </c>
      <c r="AE54" s="167">
        <f>SUM('CO2'!AE54,'CH4'!AE54,N2O!AE54)</f>
        <v>-2492.1181470499996</v>
      </c>
      <c r="AF54" s="167">
        <f>SUM('CO2'!AF54,'CH4'!AF54,N2O!AF54)</f>
        <v>-4622.1903154000011</v>
      </c>
      <c r="AG54" s="167">
        <f>SUM('CO2'!AG54,'CH4'!AG54,N2O!AG54)</f>
        <v>-5637.3999138999998</v>
      </c>
      <c r="AH54" s="167">
        <f>SUM('CO2'!AH54,'CH4'!AH54,N2O!AH54)</f>
        <v>-7463.8206146000002</v>
      </c>
      <c r="AI54" s="167">
        <f>SUM('CO2'!AI54,'CH4'!AI54,N2O!AI54)</f>
        <v>-7589.6941449999995</v>
      </c>
      <c r="AJ54" s="167">
        <f>SUM('CO2'!AJ54,'CH4'!AJ54,N2O!AJ54)</f>
        <v>-4281.7094581000001</v>
      </c>
      <c r="AK54" s="167">
        <f>SUM('CO2'!AK54,'CH4'!AK54,N2O!AK54)</f>
        <v>-4604.4912900999971</v>
      </c>
      <c r="AL54" s="167">
        <f>SUM('CO2'!AL54,'CH4'!AL54,N2O!AL54)</f>
        <v>-2226.5431645600002</v>
      </c>
    </row>
    <row r="55" spans="2:38" ht="19.5" customHeight="1">
      <c r="B55" s="7"/>
      <c r="C55" s="16"/>
    </row>
  </sheetData>
  <pageMargins left="0.70866141732283472" right="0.70866141732283472" top="0.78740157480314965" bottom="0.78740157480314965" header="1.1811023622047245" footer="1.1811023622047245"/>
  <pageSetup paperSize="9" scale="19" orientation="portrait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L55"/>
  <sheetViews>
    <sheetView showGridLines="0" zoomScale="70" zoomScaleNormal="70" zoomScalePageLayoutView="150" workbookViewId="0">
      <pane xSplit="3" ySplit="8" topLeftCell="D9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baseColWidth="10" defaultColWidth="11.42578125" defaultRowHeight="15" outlineLevelCol="1"/>
  <cols>
    <col min="1" max="1" width="5.42578125" style="2" customWidth="1"/>
    <col min="2" max="2" width="62.7109375" style="2" customWidth="1"/>
    <col min="3" max="3" width="25.7109375" style="17" hidden="1" customWidth="1"/>
    <col min="4" max="4" width="10.85546875" style="2" customWidth="1"/>
    <col min="5" max="8" width="10.85546875" style="2" hidden="1" customWidth="1" outlineLevel="1"/>
    <col min="9" max="9" width="10.85546875" style="2" customWidth="1" collapsed="1"/>
    <col min="10" max="13" width="10.85546875" style="2" hidden="1" customWidth="1" outlineLevel="1"/>
    <col min="14" max="14" width="10.85546875" style="2" customWidth="1" collapsed="1"/>
    <col min="15" max="18" width="10.85546875" style="2" hidden="1" customWidth="1" outlineLevel="1"/>
    <col min="19" max="19" width="10.85546875" style="2" customWidth="1" collapsed="1"/>
    <col min="20" max="23" width="10.85546875" style="2" hidden="1" customWidth="1" outlineLevel="1"/>
    <col min="24" max="24" width="10.85546875" style="2" customWidth="1" collapsed="1"/>
    <col min="25" max="28" width="10.85546875" style="2" customWidth="1" outlineLevel="1"/>
    <col min="29" max="29" width="10.85546875" style="2" customWidth="1"/>
    <col min="30" max="33" width="10.85546875" style="2" customWidth="1" outlineLevel="1"/>
    <col min="34" max="34" width="10.85546875" style="150" customWidth="1"/>
    <col min="35" max="36" width="10.85546875" style="88" customWidth="1"/>
    <col min="37" max="38" width="10.85546875" style="150" customWidth="1"/>
    <col min="39" max="16384" width="11.42578125" style="2"/>
  </cols>
  <sheetData>
    <row r="1" spans="2:38"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</row>
    <row r="2" spans="2:38" ht="14.25" customHeight="1">
      <c r="B2" s="1"/>
      <c r="C2" s="86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</row>
    <row r="3" spans="2:38" ht="22.5" customHeight="1">
      <c r="B3" s="3" t="s">
        <v>39</v>
      </c>
      <c r="C3" s="12" t="s">
        <v>42</v>
      </c>
      <c r="D3" s="24" t="s">
        <v>254</v>
      </c>
      <c r="E3" s="2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2:38">
      <c r="B4" s="4" t="s">
        <v>79</v>
      </c>
      <c r="C4" s="13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  <c r="AH4" s="155">
        <v>43831</v>
      </c>
      <c r="AI4" s="155">
        <v>44197</v>
      </c>
      <c r="AJ4" s="155">
        <v>44562</v>
      </c>
      <c r="AK4" s="155">
        <v>44927</v>
      </c>
      <c r="AL4" s="155">
        <v>45292</v>
      </c>
    </row>
    <row r="5" spans="2:38" s="10" customFormat="1" ht="18.75" customHeight="1">
      <c r="B5" s="5" t="s">
        <v>21</v>
      </c>
      <c r="C5" s="20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166"/>
      <c r="AI5" s="142"/>
      <c r="AJ5" s="27"/>
      <c r="AK5" s="166"/>
      <c r="AL5" s="166"/>
    </row>
    <row r="6" spans="2:38" s="10" customFormat="1" ht="18.75" customHeight="1">
      <c r="B6" s="25" t="s">
        <v>22</v>
      </c>
      <c r="C6" s="22" t="s">
        <v>3</v>
      </c>
      <c r="D6" s="26">
        <f t="shared" ref="D6:AJ6" si="0">SUM(D9,D14,D21,D26,D32,D42)</f>
        <v>1054795.857282981</v>
      </c>
      <c r="E6" s="26">
        <f t="shared" si="0"/>
        <v>1016929.5152097743</v>
      </c>
      <c r="F6" s="26">
        <f t="shared" si="0"/>
        <v>969464.40752345184</v>
      </c>
      <c r="G6" s="26">
        <f t="shared" si="0"/>
        <v>959385.87814651965</v>
      </c>
      <c r="H6" s="26">
        <f t="shared" si="0"/>
        <v>943227.65450113092</v>
      </c>
      <c r="I6" s="26">
        <f t="shared" si="0"/>
        <v>939933.62027622527</v>
      </c>
      <c r="J6" s="26">
        <f t="shared" si="0"/>
        <v>959690.1226426299</v>
      </c>
      <c r="K6" s="26">
        <f t="shared" si="0"/>
        <v>931508.10035694099</v>
      </c>
      <c r="L6" s="26">
        <f t="shared" si="0"/>
        <v>923498.64295613952</v>
      </c>
      <c r="M6" s="26">
        <f t="shared" si="0"/>
        <v>895442.08169777552</v>
      </c>
      <c r="N6" s="26">
        <f t="shared" si="0"/>
        <v>898975.77060410124</v>
      </c>
      <c r="O6" s="26">
        <f t="shared" si="0"/>
        <v>915254.7542405955</v>
      </c>
      <c r="P6" s="26">
        <f t="shared" si="0"/>
        <v>898834.27379729634</v>
      </c>
      <c r="Q6" s="26">
        <f t="shared" si="0"/>
        <v>894501.07095436251</v>
      </c>
      <c r="R6" s="26">
        <f t="shared" si="0"/>
        <v>876569.91534326458</v>
      </c>
      <c r="S6" s="26">
        <f t="shared" si="0"/>
        <v>867880.51230584504</v>
      </c>
      <c r="T6" s="26">
        <f t="shared" si="0"/>
        <v>886434.34748819668</v>
      </c>
      <c r="U6" s="26">
        <f t="shared" si="0"/>
        <v>846152.96672214533</v>
      </c>
      <c r="V6" s="26">
        <f t="shared" si="0"/>
        <v>856642.51550101128</v>
      </c>
      <c r="W6" s="26">
        <f t="shared" si="0"/>
        <v>789983.93530676584</v>
      </c>
      <c r="X6" s="26">
        <f t="shared" si="0"/>
        <v>826704.68605839298</v>
      </c>
      <c r="Y6" s="26">
        <f t="shared" si="0"/>
        <v>804541.58304951526</v>
      </c>
      <c r="Z6" s="26">
        <f t="shared" si="0"/>
        <v>814093.003007147</v>
      </c>
      <c r="AA6" s="26">
        <f t="shared" si="0"/>
        <v>831745.56209812954</v>
      </c>
      <c r="AB6" s="26">
        <f t="shared" si="0"/>
        <v>792583.59618273145</v>
      </c>
      <c r="AC6" s="26">
        <f t="shared" si="0"/>
        <v>800822.48376771784</v>
      </c>
      <c r="AD6" s="26">
        <f t="shared" si="0"/>
        <v>797988.26919692359</v>
      </c>
      <c r="AE6" s="26">
        <f t="shared" si="0"/>
        <v>784595.15201252943</v>
      </c>
      <c r="AF6" s="26">
        <f t="shared" si="0"/>
        <v>758771.36747485516</v>
      </c>
      <c r="AG6" s="26">
        <f t="shared" si="0"/>
        <v>708648.95703536202</v>
      </c>
      <c r="AH6" s="165">
        <f t="shared" si="0"/>
        <v>647176.84410498058</v>
      </c>
      <c r="AI6" s="141">
        <f t="shared" si="0"/>
        <v>677997.68850281835</v>
      </c>
      <c r="AJ6" s="26">
        <f t="shared" si="0"/>
        <v>667843.04517971328</v>
      </c>
      <c r="AK6" s="165">
        <f t="shared" ref="AK6:AL6" si="1">SUM(AK9,AK14,AK21,AK26,AK32,AK42)</f>
        <v>593766.01601629157</v>
      </c>
      <c r="AL6" s="165">
        <f t="shared" si="1"/>
        <v>572497.74678935611</v>
      </c>
    </row>
    <row r="7" spans="2:38" s="10" customFormat="1" ht="18.75" customHeight="1">
      <c r="B7" s="23" t="s">
        <v>23</v>
      </c>
      <c r="C7" s="20" t="s">
        <v>3</v>
      </c>
      <c r="D7" s="27">
        <f t="shared" ref="D7:AJ7" si="2">SUM(D9,D14,D21,D26,D32,D42,D48)</f>
        <v>1082654.8505233207</v>
      </c>
      <c r="E7" s="27">
        <f t="shared" si="2"/>
        <v>996475.90182875388</v>
      </c>
      <c r="F7" s="27">
        <f t="shared" si="2"/>
        <v>944408.62059413095</v>
      </c>
      <c r="G7" s="27">
        <f t="shared" si="2"/>
        <v>925281.09326424345</v>
      </c>
      <c r="H7" s="27">
        <f t="shared" si="2"/>
        <v>917682.45316535619</v>
      </c>
      <c r="I7" s="27">
        <f t="shared" si="2"/>
        <v>925535.76446772262</v>
      </c>
      <c r="J7" s="27">
        <f t="shared" si="2"/>
        <v>945082.93236380187</v>
      </c>
      <c r="K7" s="27">
        <f t="shared" si="2"/>
        <v>915577.80838111485</v>
      </c>
      <c r="L7" s="27">
        <f t="shared" si="2"/>
        <v>899238.1835185911</v>
      </c>
      <c r="M7" s="27">
        <f t="shared" si="2"/>
        <v>877423.99656998075</v>
      </c>
      <c r="N7" s="27">
        <f t="shared" si="2"/>
        <v>895819.77981935302</v>
      </c>
      <c r="O7" s="27">
        <f t="shared" si="2"/>
        <v>903326.46455981815</v>
      </c>
      <c r="P7" s="27">
        <f t="shared" si="2"/>
        <v>916954.46645462187</v>
      </c>
      <c r="Q7" s="27">
        <f t="shared" si="2"/>
        <v>924491.03710243932</v>
      </c>
      <c r="R7" s="27">
        <f t="shared" si="2"/>
        <v>893464.38727121882</v>
      </c>
      <c r="S7" s="27">
        <f t="shared" si="2"/>
        <v>881183.41532051889</v>
      </c>
      <c r="T7" s="27">
        <f t="shared" si="2"/>
        <v>890762.10774730996</v>
      </c>
      <c r="U7" s="27">
        <f t="shared" si="2"/>
        <v>840844.46309150837</v>
      </c>
      <c r="V7" s="27">
        <f t="shared" si="2"/>
        <v>845902.82647122315</v>
      </c>
      <c r="W7" s="27">
        <f t="shared" si="2"/>
        <v>782567.54701160465</v>
      </c>
      <c r="X7" s="27">
        <f t="shared" si="2"/>
        <v>823687.51473439694</v>
      </c>
      <c r="Y7" s="27">
        <f t="shared" si="2"/>
        <v>795181.22500286426</v>
      </c>
      <c r="Z7" s="27">
        <f t="shared" si="2"/>
        <v>808235.26510135189</v>
      </c>
      <c r="AA7" s="27">
        <f t="shared" si="2"/>
        <v>823276.05290490785</v>
      </c>
      <c r="AB7" s="27">
        <f t="shared" si="2"/>
        <v>794924.31088280538</v>
      </c>
      <c r="AC7" s="27">
        <f t="shared" si="2"/>
        <v>798363.10226290708</v>
      </c>
      <c r="AD7" s="27">
        <f t="shared" si="2"/>
        <v>799091.69981136417</v>
      </c>
      <c r="AE7" s="27">
        <f t="shared" si="2"/>
        <v>779474.43243685679</v>
      </c>
      <c r="AF7" s="27">
        <f t="shared" si="2"/>
        <v>834645.87379164086</v>
      </c>
      <c r="AG7" s="27">
        <f t="shared" si="2"/>
        <v>773028.27238035318</v>
      </c>
      <c r="AH7" s="166">
        <f t="shared" si="2"/>
        <v>716270.83831517573</v>
      </c>
      <c r="AI7" s="142">
        <f t="shared" si="2"/>
        <v>732878.47744899802</v>
      </c>
      <c r="AJ7" s="27">
        <f t="shared" si="2"/>
        <v>736003.92840545822</v>
      </c>
      <c r="AK7" s="166">
        <f t="shared" ref="AK7:AL7" si="3">SUM(AK9,AK14,AK21,AK26,AK32,AK42,AK48)</f>
        <v>653660.58397756726</v>
      </c>
      <c r="AL7" s="166">
        <f t="shared" si="3"/>
        <v>615382.89272664406</v>
      </c>
    </row>
    <row r="8" spans="2:38" ht="18.75" customHeight="1">
      <c r="B8" s="18"/>
      <c r="C8" s="1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167"/>
      <c r="AI8" s="143"/>
      <c r="AJ8" s="91"/>
      <c r="AK8" s="167"/>
      <c r="AL8" s="167"/>
    </row>
    <row r="9" spans="2:38" s="10" customFormat="1" ht="18.75" customHeight="1">
      <c r="B9" s="5" t="s">
        <v>8</v>
      </c>
      <c r="C9" s="20" t="s">
        <v>3</v>
      </c>
      <c r="D9" s="27">
        <f t="shared" ref="D9:AG9" si="4">SUMIF(D10:D12,"&lt;1E+307")</f>
        <v>432876.64312350168</v>
      </c>
      <c r="E9" s="27">
        <f t="shared" si="4"/>
        <v>419005.91961784154</v>
      </c>
      <c r="F9" s="27">
        <f t="shared" si="4"/>
        <v>397359.70693089202</v>
      </c>
      <c r="G9" s="27">
        <f t="shared" si="4"/>
        <v>386201.38929887098</v>
      </c>
      <c r="H9" s="27">
        <f t="shared" si="4"/>
        <v>383672.50567698234</v>
      </c>
      <c r="I9" s="27">
        <f t="shared" si="4"/>
        <v>371880.42853843659</v>
      </c>
      <c r="J9" s="27">
        <f t="shared" si="4"/>
        <v>379035.49137834774</v>
      </c>
      <c r="K9" s="27">
        <f t="shared" si="4"/>
        <v>358002.96372240165</v>
      </c>
      <c r="L9" s="27">
        <f t="shared" si="4"/>
        <v>360848.34686459054</v>
      </c>
      <c r="M9" s="27">
        <f t="shared" si="4"/>
        <v>348734.42585924629</v>
      </c>
      <c r="N9" s="27">
        <f t="shared" si="4"/>
        <v>361540.55104349676</v>
      </c>
      <c r="O9" s="27">
        <f t="shared" si="4"/>
        <v>374130.45509321772</v>
      </c>
      <c r="P9" s="27">
        <f t="shared" si="4"/>
        <v>375614.66475400736</v>
      </c>
      <c r="Q9" s="27">
        <f t="shared" si="4"/>
        <v>393312.5225384825</v>
      </c>
      <c r="R9" s="27">
        <f t="shared" si="4"/>
        <v>390898.36296712962</v>
      </c>
      <c r="S9" s="27">
        <f t="shared" si="4"/>
        <v>383960.36706787231</v>
      </c>
      <c r="T9" s="27">
        <f t="shared" si="4"/>
        <v>386414.77972291125</v>
      </c>
      <c r="U9" s="27">
        <f t="shared" si="4"/>
        <v>390449.45448184182</v>
      </c>
      <c r="V9" s="27">
        <f t="shared" si="4"/>
        <v>372816.83107757632</v>
      </c>
      <c r="W9" s="27">
        <f t="shared" si="4"/>
        <v>348246.62851704139</v>
      </c>
      <c r="X9" s="27">
        <f t="shared" si="4"/>
        <v>359061.90554820863</v>
      </c>
      <c r="Y9" s="27">
        <f t="shared" si="4"/>
        <v>354446.6600911874</v>
      </c>
      <c r="Z9" s="27">
        <f t="shared" si="4"/>
        <v>365021.70218100358</v>
      </c>
      <c r="AA9" s="27">
        <f t="shared" si="4"/>
        <v>370236.71642383235</v>
      </c>
      <c r="AB9" s="27">
        <f t="shared" si="4"/>
        <v>350492.61121144809</v>
      </c>
      <c r="AC9" s="27">
        <f t="shared" si="4"/>
        <v>339101.0749324417</v>
      </c>
      <c r="AD9" s="27">
        <f t="shared" si="4"/>
        <v>335021.07760439947</v>
      </c>
      <c r="AE9" s="27">
        <f t="shared" si="4"/>
        <v>315597.03163903125</v>
      </c>
      <c r="AF9" s="27">
        <f t="shared" si="4"/>
        <v>301285.24165683496</v>
      </c>
      <c r="AG9" s="27">
        <f t="shared" si="4"/>
        <v>250981.05533787434</v>
      </c>
      <c r="AH9" s="166">
        <f t="shared" ref="AH9" si="5">SUMIF(AH10:AH12,"&lt;1E+307")</f>
        <v>212215.7417916845</v>
      </c>
      <c r="AI9" s="142">
        <f t="shared" ref="AI9" si="6">SUMIF(AI10:AI12,"&lt;1E+307")</f>
        <v>239564.92263627492</v>
      </c>
      <c r="AJ9" s="27">
        <f t="shared" ref="AJ9:AK9" si="7">SUMIF(AJ10:AJ12,"&lt;1E+307")</f>
        <v>250084.00761659423</v>
      </c>
      <c r="AK9" s="166">
        <f t="shared" si="7"/>
        <v>196488.78033485138</v>
      </c>
      <c r="AL9" s="166">
        <f t="shared" ref="AL9" si="8">SUMIF(AL10:AL12,"&lt;1E+307")</f>
        <v>179013.38263906699</v>
      </c>
    </row>
    <row r="10" spans="2:38" s="88" customFormat="1" ht="18.75" customHeight="1">
      <c r="B10" s="90" t="s">
        <v>0</v>
      </c>
      <c r="C10" s="89" t="s">
        <v>221</v>
      </c>
      <c r="D10" s="91">
        <v>427952.70442269614</v>
      </c>
      <c r="E10" s="167">
        <v>414247.50366675976</v>
      </c>
      <c r="F10" s="167">
        <v>392692.74859578762</v>
      </c>
      <c r="G10" s="167">
        <v>381691.93731093191</v>
      </c>
      <c r="H10" s="167">
        <v>379239.18935936398</v>
      </c>
      <c r="I10" s="167">
        <v>367496.61740544194</v>
      </c>
      <c r="J10" s="167">
        <v>374339.77047439298</v>
      </c>
      <c r="K10" s="167">
        <v>353346.15650603862</v>
      </c>
      <c r="L10" s="167">
        <v>356250.27901830018</v>
      </c>
      <c r="M10" s="167">
        <v>344195.29282200354</v>
      </c>
      <c r="N10" s="167">
        <v>357133.77014425822</v>
      </c>
      <c r="O10" s="167">
        <v>369668.46646197932</v>
      </c>
      <c r="P10" s="167">
        <v>371045.23253552889</v>
      </c>
      <c r="Q10" s="167">
        <v>388801.73589357111</v>
      </c>
      <c r="R10" s="167">
        <v>386454.94113883493</v>
      </c>
      <c r="S10" s="167">
        <v>379525.48853364657</v>
      </c>
      <c r="T10" s="167">
        <v>381674.81166278489</v>
      </c>
      <c r="U10" s="167">
        <v>386096.79231388198</v>
      </c>
      <c r="V10" s="167">
        <v>368439.22171978559</v>
      </c>
      <c r="W10" s="167">
        <v>344319.54087340366</v>
      </c>
      <c r="X10" s="167">
        <v>355304.49655504589</v>
      </c>
      <c r="Y10" s="167">
        <v>350546.43695679551</v>
      </c>
      <c r="Z10" s="167">
        <v>361128.10691951023</v>
      </c>
      <c r="AA10" s="167">
        <v>366078.00992722751</v>
      </c>
      <c r="AB10" s="167">
        <v>346819.2489492622</v>
      </c>
      <c r="AC10" s="167">
        <v>335496.40481498698</v>
      </c>
      <c r="AD10" s="167">
        <v>331631.14642441249</v>
      </c>
      <c r="AE10" s="167">
        <v>312078.61284649256</v>
      </c>
      <c r="AF10" s="167">
        <v>297967.50745608163</v>
      </c>
      <c r="AG10" s="167">
        <v>247749.78897749871</v>
      </c>
      <c r="AH10" s="167">
        <v>209626.739479785</v>
      </c>
      <c r="AI10" s="167">
        <v>236857.056540719</v>
      </c>
      <c r="AJ10" s="167">
        <v>246921.46869578876</v>
      </c>
      <c r="AK10" s="167">
        <v>193853.96445195755</v>
      </c>
      <c r="AL10" s="167">
        <v>176477.7481600568</v>
      </c>
    </row>
    <row r="11" spans="2:38" s="88" customFormat="1" ht="18.75" customHeight="1">
      <c r="B11" s="19" t="s">
        <v>2</v>
      </c>
      <c r="C11" s="14" t="s">
        <v>222</v>
      </c>
      <c r="D11" s="29">
        <v>1083.2669225</v>
      </c>
      <c r="E11" s="29">
        <v>1139.0283824999999</v>
      </c>
      <c r="F11" s="29">
        <v>1126.6868711</v>
      </c>
      <c r="G11" s="29">
        <v>1191.6130584999999</v>
      </c>
      <c r="H11" s="29">
        <v>1212.9793499999998</v>
      </c>
      <c r="I11" s="29">
        <v>1323.7139119999999</v>
      </c>
      <c r="J11" s="29">
        <v>1482.3934264</v>
      </c>
      <c r="K11" s="29">
        <v>1417.3257855999998</v>
      </c>
      <c r="L11" s="29">
        <v>1429.7796552</v>
      </c>
      <c r="M11" s="29">
        <v>1425.9350059999999</v>
      </c>
      <c r="N11" s="29">
        <v>1414.2592984</v>
      </c>
      <c r="O11" s="29">
        <v>1492.4007155999998</v>
      </c>
      <c r="P11" s="29">
        <v>1603.4827191000002</v>
      </c>
      <c r="Q11" s="29">
        <v>1507.7385959999999</v>
      </c>
      <c r="R11" s="29">
        <v>1515.1455374999998</v>
      </c>
      <c r="S11" s="29">
        <v>1480.982686848</v>
      </c>
      <c r="T11" s="29">
        <v>1670.8132299209999</v>
      </c>
      <c r="U11" s="29">
        <v>1363.8925345535999</v>
      </c>
      <c r="V11" s="29">
        <v>1432.7991799653</v>
      </c>
      <c r="W11" s="29">
        <v>1351.7154793359</v>
      </c>
      <c r="X11" s="29">
        <v>1175.645262176</v>
      </c>
      <c r="Y11" s="29">
        <v>1227.2774321160002</v>
      </c>
      <c r="Z11" s="29">
        <v>1236.3029460415999</v>
      </c>
      <c r="AA11" s="29">
        <v>1469.7585731070772</v>
      </c>
      <c r="AB11" s="29">
        <v>1195.0528386559999</v>
      </c>
      <c r="AC11" s="29">
        <v>1231.0067087999998</v>
      </c>
      <c r="AD11" s="29">
        <v>1046.2848296847001</v>
      </c>
      <c r="AE11" s="29">
        <v>1251.7394611015</v>
      </c>
      <c r="AF11" s="29">
        <v>1329.21174646995</v>
      </c>
      <c r="AG11" s="29">
        <v>1193.9694623231499</v>
      </c>
      <c r="AH11" s="168">
        <v>767.5157920695998</v>
      </c>
      <c r="AI11" s="144">
        <v>836.21568781430005</v>
      </c>
      <c r="AJ11" s="29">
        <v>1328.0872292621998</v>
      </c>
      <c r="AK11" s="168">
        <v>936.13317036623982</v>
      </c>
      <c r="AL11" s="168">
        <v>864.43403090943991</v>
      </c>
    </row>
    <row r="12" spans="2:38" s="88" customFormat="1" ht="18.75" customHeight="1">
      <c r="B12" s="90" t="s">
        <v>1</v>
      </c>
      <c r="C12" s="89" t="s">
        <v>223</v>
      </c>
      <c r="D12" s="91">
        <v>3840.671778305521</v>
      </c>
      <c r="E12" s="91">
        <v>3619.3875685817943</v>
      </c>
      <c r="F12" s="91">
        <v>3540.2714640043887</v>
      </c>
      <c r="G12" s="91">
        <v>3317.8389294390745</v>
      </c>
      <c r="H12" s="91">
        <v>3220.3369676183975</v>
      </c>
      <c r="I12" s="91">
        <v>3060.0972209946417</v>
      </c>
      <c r="J12" s="91">
        <v>3213.3274775547188</v>
      </c>
      <c r="K12" s="91">
        <v>3239.4814307630054</v>
      </c>
      <c r="L12" s="91">
        <v>3168.2881910903484</v>
      </c>
      <c r="M12" s="91">
        <v>3113.1980312427395</v>
      </c>
      <c r="N12" s="91">
        <v>2992.521600838516</v>
      </c>
      <c r="O12" s="91">
        <v>2969.5879156383889</v>
      </c>
      <c r="P12" s="91">
        <v>2965.9494993784551</v>
      </c>
      <c r="Q12" s="91">
        <v>3003.0480489113806</v>
      </c>
      <c r="R12" s="91">
        <v>2928.2762907947131</v>
      </c>
      <c r="S12" s="91">
        <v>2953.8958473777943</v>
      </c>
      <c r="T12" s="91">
        <v>3069.1548302053684</v>
      </c>
      <c r="U12" s="91">
        <v>2988.7696334062653</v>
      </c>
      <c r="V12" s="91">
        <v>2944.8101778254613</v>
      </c>
      <c r="W12" s="91">
        <v>2575.3721643018198</v>
      </c>
      <c r="X12" s="91">
        <v>2581.7637309867168</v>
      </c>
      <c r="Y12" s="91">
        <v>2672.9457022758734</v>
      </c>
      <c r="Z12" s="91">
        <v>2657.2923154517739</v>
      </c>
      <c r="AA12" s="91">
        <v>2688.9479234977794</v>
      </c>
      <c r="AB12" s="91">
        <v>2478.3094235298727</v>
      </c>
      <c r="AC12" s="91">
        <v>2373.6634086547338</v>
      </c>
      <c r="AD12" s="91">
        <v>2343.6463503022801</v>
      </c>
      <c r="AE12" s="91">
        <v>2266.6793314372203</v>
      </c>
      <c r="AF12" s="91">
        <v>1988.5224542833728</v>
      </c>
      <c r="AG12" s="91">
        <v>2037.2968980524872</v>
      </c>
      <c r="AH12" s="167">
        <v>1821.4865198298874</v>
      </c>
      <c r="AI12" s="143">
        <v>1871.6504077415937</v>
      </c>
      <c r="AJ12" s="91">
        <v>1834.4516915432771</v>
      </c>
      <c r="AK12" s="167">
        <v>1698.6827125276054</v>
      </c>
      <c r="AL12" s="167">
        <v>1671.2004481007541</v>
      </c>
    </row>
    <row r="13" spans="2:38" s="88" customFormat="1" ht="18.75" customHeight="1">
      <c r="B13" s="19"/>
      <c r="C13" s="14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168"/>
      <c r="AI13" s="144"/>
      <c r="AJ13" s="29"/>
      <c r="AK13" s="168"/>
      <c r="AL13" s="168"/>
    </row>
    <row r="14" spans="2:38" s="10" customFormat="1" ht="18.75" customHeight="1">
      <c r="B14" s="6" t="s">
        <v>9</v>
      </c>
      <c r="C14" s="22" t="s">
        <v>3</v>
      </c>
      <c r="D14" s="26">
        <f t="shared" ref="D14:AJ14" si="9">SUMIF(D15:D19,"&lt;1E+307")</f>
        <v>242595.3981555528</v>
      </c>
      <c r="E14" s="26">
        <f t="shared" si="9"/>
        <v>217322.92722036061</v>
      </c>
      <c r="F14" s="26">
        <f t="shared" si="9"/>
        <v>203398.54910459695</v>
      </c>
      <c r="G14" s="26">
        <f t="shared" si="9"/>
        <v>192964.17720441284</v>
      </c>
      <c r="H14" s="26">
        <f t="shared" si="9"/>
        <v>193671.27154142258</v>
      </c>
      <c r="I14" s="26">
        <f t="shared" si="9"/>
        <v>196618.94428630071</v>
      </c>
      <c r="J14" s="26">
        <f t="shared" si="9"/>
        <v>185184.77764618522</v>
      </c>
      <c r="K14" s="26">
        <f t="shared" si="9"/>
        <v>191815.6596284128</v>
      </c>
      <c r="L14" s="26">
        <f t="shared" si="9"/>
        <v>185839.55180638755</v>
      </c>
      <c r="M14" s="26">
        <f t="shared" si="9"/>
        <v>181049.51071567889</v>
      </c>
      <c r="N14" s="26">
        <f t="shared" si="9"/>
        <v>182406.57332766982</v>
      </c>
      <c r="O14" s="26">
        <f t="shared" si="9"/>
        <v>169450.00955977695</v>
      </c>
      <c r="P14" s="26">
        <f t="shared" si="9"/>
        <v>166919.6378507053</v>
      </c>
      <c r="Q14" s="26">
        <f t="shared" si="9"/>
        <v>166613.10107288841</v>
      </c>
      <c r="R14" s="26">
        <f t="shared" si="9"/>
        <v>165021.04930983752</v>
      </c>
      <c r="S14" s="26">
        <f t="shared" si="9"/>
        <v>163459.17518831071</v>
      </c>
      <c r="T14" s="26">
        <f t="shared" si="9"/>
        <v>168298.73337363638</v>
      </c>
      <c r="U14" s="26">
        <f t="shared" si="9"/>
        <v>174080.57746974356</v>
      </c>
      <c r="V14" s="26">
        <f t="shared" si="9"/>
        <v>171770.83814882775</v>
      </c>
      <c r="W14" s="26">
        <f t="shared" si="9"/>
        <v>145545.47300804313</v>
      </c>
      <c r="X14" s="26">
        <f t="shared" si="9"/>
        <v>167086.08575652205</v>
      </c>
      <c r="Y14" s="26">
        <f t="shared" si="9"/>
        <v>165301.42683099085</v>
      </c>
      <c r="Z14" s="26">
        <f t="shared" si="9"/>
        <v>160625.37446501834</v>
      </c>
      <c r="AA14" s="26">
        <f t="shared" si="9"/>
        <v>160211.34574499697</v>
      </c>
      <c r="AB14" s="26">
        <f t="shared" si="9"/>
        <v>159539.56407455681</v>
      </c>
      <c r="AC14" s="26">
        <f t="shared" si="9"/>
        <v>165770.73255428631</v>
      </c>
      <c r="AD14" s="26">
        <f t="shared" si="9"/>
        <v>169494.62387115619</v>
      </c>
      <c r="AE14" s="26">
        <f t="shared" si="9"/>
        <v>175251.50348950725</v>
      </c>
      <c r="AF14" s="26">
        <f t="shared" si="9"/>
        <v>168597.74712479813</v>
      </c>
      <c r="AG14" s="26">
        <f t="shared" si="9"/>
        <v>163824.88881792943</v>
      </c>
      <c r="AH14" s="165">
        <f t="shared" si="9"/>
        <v>158554.46290160518</v>
      </c>
      <c r="AI14" s="141">
        <f t="shared" si="9"/>
        <v>166950.24145926349</v>
      </c>
      <c r="AJ14" s="26">
        <f t="shared" si="9"/>
        <v>152196.31596739462</v>
      </c>
      <c r="AK14" s="165">
        <f t="shared" ref="AK14:AL14" si="10">SUMIF(AK15:AK19,"&lt;1E+307")</f>
        <v>141707.98658268977</v>
      </c>
      <c r="AL14" s="165">
        <f t="shared" si="10"/>
        <v>142211.87885239162</v>
      </c>
    </row>
    <row r="15" spans="2:38" ht="18.75" customHeight="1">
      <c r="B15" s="19" t="s">
        <v>24</v>
      </c>
      <c r="C15" s="14" t="s">
        <v>224</v>
      </c>
      <c r="D15" s="29">
        <v>182953.05920990865</v>
      </c>
      <c r="E15" s="29">
        <v>161493.32932106877</v>
      </c>
      <c r="F15" s="29">
        <v>150302.74158223148</v>
      </c>
      <c r="G15" s="29">
        <v>139407.17668801008</v>
      </c>
      <c r="H15" s="29">
        <v>137470.94039350442</v>
      </c>
      <c r="I15" s="29">
        <v>140872.05453320782</v>
      </c>
      <c r="J15" s="29">
        <v>131594.68002779537</v>
      </c>
      <c r="K15" s="29">
        <v>135517.33322967993</v>
      </c>
      <c r="L15" s="29">
        <v>131065.09700950583</v>
      </c>
      <c r="M15" s="29">
        <v>128572.15778481591</v>
      </c>
      <c r="N15" s="29">
        <v>124948.17200312129</v>
      </c>
      <c r="O15" s="29">
        <v>117960.58603763391</v>
      </c>
      <c r="P15" s="29">
        <v>117329.1840093567</v>
      </c>
      <c r="Q15" s="29">
        <v>114040.90046352999</v>
      </c>
      <c r="R15" s="29">
        <v>112278.96199925577</v>
      </c>
      <c r="S15" s="29">
        <v>112690.92483480004</v>
      </c>
      <c r="T15" s="29">
        <v>116903.27442518507</v>
      </c>
      <c r="U15" s="29">
        <v>121886.40851351178</v>
      </c>
      <c r="V15" s="29">
        <v>122498.77333500194</v>
      </c>
      <c r="W15" s="29">
        <v>104919.59772053295</v>
      </c>
      <c r="X15" s="29">
        <v>121157.83594757124</v>
      </c>
      <c r="Y15" s="29">
        <v>117852.36828669395</v>
      </c>
      <c r="Z15" s="29">
        <v>115881.09340610538</v>
      </c>
      <c r="AA15" s="29">
        <v>115699.53350854035</v>
      </c>
      <c r="AB15" s="29">
        <v>114647.81956867053</v>
      </c>
      <c r="AC15" s="29">
        <v>122121.85341574742</v>
      </c>
      <c r="AD15" s="29">
        <v>124189.05729038644</v>
      </c>
      <c r="AE15" s="29">
        <v>126020.50193950268</v>
      </c>
      <c r="AF15" s="29">
        <v>121400.45841774278</v>
      </c>
      <c r="AG15" s="29">
        <v>118858.19966202656</v>
      </c>
      <c r="AH15" s="168">
        <v>116202.07958024785</v>
      </c>
      <c r="AI15" s="144">
        <v>121983.35828927551</v>
      </c>
      <c r="AJ15" s="29">
        <v>111562.43733956794</v>
      </c>
      <c r="AK15" s="168">
        <v>104875.21397041598</v>
      </c>
      <c r="AL15" s="168">
        <v>105015.02110810138</v>
      </c>
    </row>
    <row r="16" spans="2:38" ht="18.75" customHeight="1">
      <c r="B16" s="18" t="s">
        <v>11</v>
      </c>
      <c r="C16" s="15" t="s">
        <v>225</v>
      </c>
      <c r="D16" s="28">
        <v>23522.37700335959</v>
      </c>
      <c r="E16" s="28">
        <v>21349.780691256252</v>
      </c>
      <c r="F16" s="28">
        <v>22135.054345486107</v>
      </c>
      <c r="G16" s="28">
        <v>22530.875775271143</v>
      </c>
      <c r="H16" s="28">
        <v>24133.10308054736</v>
      </c>
      <c r="I16" s="28">
        <v>24487.421341301233</v>
      </c>
      <c r="J16" s="28">
        <v>23079.988502054999</v>
      </c>
      <c r="K16" s="28">
        <v>23600.760284535903</v>
      </c>
      <c r="L16" s="28">
        <v>23600.618765187221</v>
      </c>
      <c r="M16" s="28">
        <v>23710.802547403946</v>
      </c>
      <c r="N16" s="28">
        <v>23265.792589337652</v>
      </c>
      <c r="O16" s="28">
        <v>21051.263216725929</v>
      </c>
      <c r="P16" s="28">
        <v>20147.498665345225</v>
      </c>
      <c r="Q16" s="28">
        <v>20878.76077120662</v>
      </c>
      <c r="R16" s="28">
        <v>21406.357267773958</v>
      </c>
      <c r="S16" s="28">
        <v>20125.529017977478</v>
      </c>
      <c r="T16" s="28">
        <v>20599.789467911356</v>
      </c>
      <c r="U16" s="28">
        <v>21913.613437772234</v>
      </c>
      <c r="V16" s="28">
        <v>20885.548247507759</v>
      </c>
      <c r="W16" s="28">
        <v>18501.861688396122</v>
      </c>
      <c r="X16" s="28">
        <v>18977.182026466369</v>
      </c>
      <c r="Y16" s="28">
        <v>20178.988661134783</v>
      </c>
      <c r="Z16" s="28">
        <v>19665.716849405289</v>
      </c>
      <c r="AA16" s="28">
        <v>19073.370355693482</v>
      </c>
      <c r="AB16" s="28">
        <v>19638.083771418034</v>
      </c>
      <c r="AC16" s="28">
        <v>19221.312421853476</v>
      </c>
      <c r="AD16" s="28">
        <v>19228.260527882798</v>
      </c>
      <c r="AE16" s="28">
        <v>19933.552517479937</v>
      </c>
      <c r="AF16" s="28">
        <v>19807.482634354652</v>
      </c>
      <c r="AG16" s="28">
        <v>19569.242430160608</v>
      </c>
      <c r="AH16" s="167">
        <v>19201.696960959183</v>
      </c>
      <c r="AI16" s="143">
        <v>19994.870896526314</v>
      </c>
      <c r="AJ16" s="91">
        <v>18727.24296163391</v>
      </c>
      <c r="AK16" s="167">
        <v>15978.605968516138</v>
      </c>
      <c r="AL16" s="167">
        <v>14871.8879552</v>
      </c>
    </row>
    <row r="17" spans="2:38" ht="18.75" customHeight="1">
      <c r="B17" s="19" t="s">
        <v>12</v>
      </c>
      <c r="C17" s="14" t="s">
        <v>226</v>
      </c>
      <c r="D17" s="29">
        <v>8057.6315382080002</v>
      </c>
      <c r="E17" s="29">
        <v>7069.4771887960005</v>
      </c>
      <c r="F17" s="29">
        <v>7049.1707268109994</v>
      </c>
      <c r="G17" s="29">
        <v>6635.6311282999995</v>
      </c>
      <c r="H17" s="29">
        <v>6665.4188654999998</v>
      </c>
      <c r="I17" s="29">
        <v>7924.1792306999996</v>
      </c>
      <c r="J17" s="29">
        <v>7889.1969417999999</v>
      </c>
      <c r="K17" s="29">
        <v>7992.7679094015675</v>
      </c>
      <c r="L17" s="29">
        <v>8171.5525691072926</v>
      </c>
      <c r="M17" s="29">
        <v>7888.207184396415</v>
      </c>
      <c r="N17" s="29">
        <v>8403.734746596665</v>
      </c>
      <c r="O17" s="29">
        <v>7758.9848153053072</v>
      </c>
      <c r="P17" s="29">
        <v>8371.1302776049779</v>
      </c>
      <c r="Q17" s="29">
        <v>8432.4205721029211</v>
      </c>
      <c r="R17" s="29">
        <v>7942.8319610998396</v>
      </c>
      <c r="S17" s="29">
        <v>8707.5394144940983</v>
      </c>
      <c r="T17" s="29">
        <v>8275.5042606026382</v>
      </c>
      <c r="U17" s="29">
        <v>8576.8932334952588</v>
      </c>
      <c r="V17" s="29">
        <v>8194.10300110143</v>
      </c>
      <c r="W17" s="29">
        <v>7271.8592395975857</v>
      </c>
      <c r="X17" s="29">
        <v>8259.1768385047908</v>
      </c>
      <c r="Y17" s="29">
        <v>8035.1088442965111</v>
      </c>
      <c r="Z17" s="29">
        <v>8185.8987039000831</v>
      </c>
      <c r="AA17" s="29">
        <v>8107.3504347001626</v>
      </c>
      <c r="AB17" s="29">
        <v>6236.5878646981746</v>
      </c>
      <c r="AC17" s="29">
        <v>5564.1312491045246</v>
      </c>
      <c r="AD17" s="29">
        <v>5641.0609749054584</v>
      </c>
      <c r="AE17" s="29">
        <v>5613.7366613309159</v>
      </c>
      <c r="AF17" s="29">
        <v>5535.9677074522942</v>
      </c>
      <c r="AG17" s="29">
        <v>5403.3282347296472</v>
      </c>
      <c r="AH17" s="168">
        <v>5380.5898900000002</v>
      </c>
      <c r="AI17" s="144">
        <v>5337.2578429464875</v>
      </c>
      <c r="AJ17" s="29">
        <v>4288.12295094</v>
      </c>
      <c r="AK17" s="168">
        <v>4066.8051108679997</v>
      </c>
      <c r="AL17" s="168">
        <v>4994.3337162279995</v>
      </c>
    </row>
    <row r="18" spans="2:38" ht="18.75" customHeight="1">
      <c r="B18" s="18" t="s">
        <v>13</v>
      </c>
      <c r="C18" s="15" t="s">
        <v>227</v>
      </c>
      <c r="D18" s="28">
        <v>25079.882419729998</v>
      </c>
      <c r="E18" s="28">
        <v>24467.714117</v>
      </c>
      <c r="F18" s="28">
        <v>21048.1788165</v>
      </c>
      <c r="G18" s="28">
        <v>21507.351017259996</v>
      </c>
      <c r="H18" s="28">
        <v>22942.715009903997</v>
      </c>
      <c r="I18" s="28">
        <v>20794.279676127549</v>
      </c>
      <c r="J18" s="28">
        <v>20065.329893404487</v>
      </c>
      <c r="K18" s="28">
        <v>22095.066628782126</v>
      </c>
      <c r="L18" s="28">
        <v>20309.831447575056</v>
      </c>
      <c r="M18" s="28">
        <v>18258.881351595937</v>
      </c>
      <c r="N18" s="28">
        <v>23460.80361794191</v>
      </c>
      <c r="O18" s="28">
        <v>20494.449585052811</v>
      </c>
      <c r="P18" s="28">
        <v>18917.711769541562</v>
      </c>
      <c r="Q18" s="28">
        <v>21093.685819083177</v>
      </c>
      <c r="R18" s="28">
        <v>21096.521473631838</v>
      </c>
      <c r="S18" s="28">
        <v>19696.695752898198</v>
      </c>
      <c r="T18" s="28">
        <v>20261.977353624075</v>
      </c>
      <c r="U18" s="28">
        <v>19455.992923737969</v>
      </c>
      <c r="V18" s="28">
        <v>18026.57241016129</v>
      </c>
      <c r="W18" s="28">
        <v>12820.29697220962</v>
      </c>
      <c r="X18" s="28">
        <v>16383.188111034129</v>
      </c>
      <c r="Y18" s="28">
        <v>17055.501447419982</v>
      </c>
      <c r="Z18" s="28">
        <v>14725.553063361911</v>
      </c>
      <c r="AA18" s="28">
        <v>15208.987606350158</v>
      </c>
      <c r="AB18" s="28">
        <v>16958.06475654275</v>
      </c>
      <c r="AC18" s="28">
        <v>16865.81453721704</v>
      </c>
      <c r="AD18" s="28">
        <v>18403.853932686758</v>
      </c>
      <c r="AE18" s="28">
        <v>21599.908807675267</v>
      </c>
      <c r="AF18" s="28">
        <v>19831.525286825719</v>
      </c>
      <c r="AG18" s="28">
        <v>18021.333445587617</v>
      </c>
      <c r="AH18" s="167">
        <v>15823.37243840524</v>
      </c>
      <c r="AI18" s="143">
        <v>17564.403427312678</v>
      </c>
      <c r="AJ18" s="91">
        <v>15494.971684182499</v>
      </c>
      <c r="AK18" s="167">
        <v>14950.500354574498</v>
      </c>
      <c r="AL18" s="167">
        <v>15473.21145710758</v>
      </c>
    </row>
    <row r="19" spans="2:38" ht="18.75" customHeight="1">
      <c r="B19" s="19" t="s">
        <v>80</v>
      </c>
      <c r="C19" s="14" t="s">
        <v>228</v>
      </c>
      <c r="D19" s="29">
        <v>2982.447984346597</v>
      </c>
      <c r="E19" s="29">
        <v>2942.6259022395898</v>
      </c>
      <c r="F19" s="29">
        <v>2863.4036335683804</v>
      </c>
      <c r="G19" s="29">
        <v>2883.1425955716177</v>
      </c>
      <c r="H19" s="29">
        <v>2459.0941919668026</v>
      </c>
      <c r="I19" s="29">
        <v>2541.0095049641313</v>
      </c>
      <c r="J19" s="29">
        <v>2555.5822811303246</v>
      </c>
      <c r="K19" s="29">
        <v>2609.7315760132669</v>
      </c>
      <c r="L19" s="29">
        <v>2692.4520150121102</v>
      </c>
      <c r="M19" s="29">
        <v>2619.4618474666895</v>
      </c>
      <c r="N19" s="29">
        <v>2328.0703706723129</v>
      </c>
      <c r="O19" s="29">
        <v>2184.7259050589992</v>
      </c>
      <c r="P19" s="29">
        <v>2154.1131288568577</v>
      </c>
      <c r="Q19" s="29">
        <v>2167.333446965687</v>
      </c>
      <c r="R19" s="29">
        <v>2296.3766080760915</v>
      </c>
      <c r="S19" s="29">
        <v>2238.4861681409002</v>
      </c>
      <c r="T19" s="29">
        <v>2258.1878663132238</v>
      </c>
      <c r="U19" s="29">
        <v>2247.6693612262975</v>
      </c>
      <c r="V19" s="29">
        <v>2165.8411550553201</v>
      </c>
      <c r="W19" s="29">
        <v>2031.8573873068274</v>
      </c>
      <c r="X19" s="29">
        <v>2308.7028329454974</v>
      </c>
      <c r="Y19" s="29">
        <v>2179.4595914456272</v>
      </c>
      <c r="Z19" s="29">
        <v>2167.1124422456892</v>
      </c>
      <c r="AA19" s="29">
        <v>2122.10383971279</v>
      </c>
      <c r="AB19" s="29">
        <v>2059.0081132273294</v>
      </c>
      <c r="AC19" s="29">
        <v>1997.6209303638998</v>
      </c>
      <c r="AD19" s="29">
        <v>2032.3911452946927</v>
      </c>
      <c r="AE19" s="29">
        <v>2083.8035635184469</v>
      </c>
      <c r="AF19" s="29">
        <v>2022.3130784226814</v>
      </c>
      <c r="AG19" s="29">
        <v>1972.7850454249988</v>
      </c>
      <c r="AH19" s="168">
        <v>1946.7240319928851</v>
      </c>
      <c r="AI19" s="144">
        <v>2070.351003202521</v>
      </c>
      <c r="AJ19" s="29">
        <v>2123.5410310702509</v>
      </c>
      <c r="AK19" s="168">
        <v>1836.8611783151612</v>
      </c>
      <c r="AL19" s="168">
        <v>1857.4246157546572</v>
      </c>
    </row>
    <row r="20" spans="2:38" s="150" customFormat="1" ht="18.75" customHeight="1">
      <c r="B20" s="90"/>
      <c r="C20" s="160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</row>
    <row r="21" spans="2:38" s="10" customFormat="1" ht="18.75" customHeight="1">
      <c r="B21" s="152" t="s">
        <v>10</v>
      </c>
      <c r="C21" s="163" t="s">
        <v>3</v>
      </c>
      <c r="D21" s="166">
        <f>SUMIF(D22:D24,"&lt;1E+307")</f>
        <v>204426.43283054102</v>
      </c>
      <c r="E21" s="166">
        <f t="shared" ref="E21:AE21" si="11">SUMIF(E22:E24,"&lt;1E+307")</f>
        <v>204464.89818816938</v>
      </c>
      <c r="F21" s="166">
        <f t="shared" si="11"/>
        <v>187446.49362790471</v>
      </c>
      <c r="G21" s="166">
        <f t="shared" si="11"/>
        <v>194476.21563303363</v>
      </c>
      <c r="H21" s="166">
        <f t="shared" si="11"/>
        <v>184174.0530196261</v>
      </c>
      <c r="I21" s="166">
        <f t="shared" si="11"/>
        <v>185868.50689191915</v>
      </c>
      <c r="J21" s="166">
        <f t="shared" si="11"/>
        <v>209067.60224406197</v>
      </c>
      <c r="K21" s="166">
        <f t="shared" si="11"/>
        <v>195853.40967600717</v>
      </c>
      <c r="L21" s="166">
        <f t="shared" si="11"/>
        <v>188004.03163272771</v>
      </c>
      <c r="M21" s="166">
        <f t="shared" si="11"/>
        <v>171374.02059044159</v>
      </c>
      <c r="N21" s="166">
        <f t="shared" si="11"/>
        <v>165371.89318996426</v>
      </c>
      <c r="O21" s="166">
        <f t="shared" si="11"/>
        <v>185543.14984103054</v>
      </c>
      <c r="P21" s="166">
        <f t="shared" si="11"/>
        <v>172638.74720626348</v>
      </c>
      <c r="Q21" s="166">
        <f t="shared" si="11"/>
        <v>160138.70097671045</v>
      </c>
      <c r="R21" s="166">
        <f t="shared" si="11"/>
        <v>152040.36881301511</v>
      </c>
      <c r="S21" s="166">
        <f t="shared" si="11"/>
        <v>156152.29823363398</v>
      </c>
      <c r="T21" s="166">
        <f t="shared" si="11"/>
        <v>162406.95858282072</v>
      </c>
      <c r="U21" s="166">
        <f t="shared" si="11"/>
        <v>120796.0461152849</v>
      </c>
      <c r="V21" s="166">
        <f t="shared" si="11"/>
        <v>145758.40116677267</v>
      </c>
      <c r="W21" s="166">
        <f t="shared" si="11"/>
        <v>135780.44720132134</v>
      </c>
      <c r="X21" s="166">
        <f t="shared" si="11"/>
        <v>141194.06572774175</v>
      </c>
      <c r="Y21" s="166">
        <f t="shared" si="11"/>
        <v>123120.00302578465</v>
      </c>
      <c r="Z21" s="166">
        <f t="shared" si="11"/>
        <v>128725.97788683375</v>
      </c>
      <c r="AA21" s="166">
        <f t="shared" si="11"/>
        <v>137437.51656090951</v>
      </c>
      <c r="AB21" s="166">
        <f t="shared" si="11"/>
        <v>118891.43384048573</v>
      </c>
      <c r="AC21" s="166">
        <f t="shared" si="11"/>
        <v>124758.11347686494</v>
      </c>
      <c r="AD21" s="166">
        <f t="shared" si="11"/>
        <v>120121.10043481368</v>
      </c>
      <c r="AE21" s="166">
        <f t="shared" si="11"/>
        <v>119728.18438922285</v>
      </c>
      <c r="AF21" s="166">
        <f t="shared" ref="AF21:AG21" si="12">SUMIF(AF22:AF24,"&lt;1E+307")</f>
        <v>114714.01991118299</v>
      </c>
      <c r="AG21" s="166">
        <f t="shared" si="12"/>
        <v>120925.40405141034</v>
      </c>
      <c r="AH21" s="166">
        <f t="shared" ref="AH21" si="13">SUMIF(AH22:AH24,"&lt;1E+307")</f>
        <v>121179.78430931177</v>
      </c>
      <c r="AI21" s="166">
        <f t="shared" ref="AI21" si="14">SUMIF(AI22:AI24,"&lt;1E+307")</f>
        <v>117822.40326588569</v>
      </c>
      <c r="AJ21" s="166">
        <f t="shared" ref="AJ21:AK21" si="15">SUMIF(AJ22:AJ24,"&lt;1E+307")</f>
        <v>109026.80308582587</v>
      </c>
      <c r="AK21" s="166">
        <f t="shared" si="15"/>
        <v>101674.68911611347</v>
      </c>
      <c r="AL21" s="166">
        <f t="shared" ref="AL21" si="16">SUMIF(AL22:AL24,"&lt;1E+307")</f>
        <v>99302.166949982027</v>
      </c>
    </row>
    <row r="22" spans="2:38" s="150" customFormat="1" ht="18.75" customHeight="1">
      <c r="B22" s="90" t="s">
        <v>72</v>
      </c>
      <c r="C22" s="160" t="s">
        <v>229</v>
      </c>
      <c r="D22" s="167">
        <v>64026.059543497591</v>
      </c>
      <c r="E22" s="167">
        <v>64704.98760083325</v>
      </c>
      <c r="F22" s="167">
        <v>57718.790697436962</v>
      </c>
      <c r="G22" s="167">
        <v>55478.333221831745</v>
      </c>
      <c r="H22" s="167">
        <v>51078.284301620552</v>
      </c>
      <c r="I22" s="167">
        <v>52912.701990906062</v>
      </c>
      <c r="J22" s="167">
        <v>63670.824791793704</v>
      </c>
      <c r="K22" s="167">
        <v>54568.20190766672</v>
      </c>
      <c r="L22" s="167">
        <v>53058.405598006371</v>
      </c>
      <c r="M22" s="167">
        <v>49001.881810645355</v>
      </c>
      <c r="N22" s="167">
        <v>45278.59238388919</v>
      </c>
      <c r="O22" s="167">
        <v>52501.993490376241</v>
      </c>
      <c r="P22" s="167">
        <v>49580.058486414506</v>
      </c>
      <c r="Q22" s="167">
        <v>36633.256178688614</v>
      </c>
      <c r="R22" s="167">
        <v>36850.061480411285</v>
      </c>
      <c r="S22" s="167">
        <v>43551.318462528005</v>
      </c>
      <c r="T22" s="167">
        <v>48028.419429969486</v>
      </c>
      <c r="U22" s="167">
        <v>33287.293249675713</v>
      </c>
      <c r="V22" s="167">
        <v>38746.287740708787</v>
      </c>
      <c r="W22" s="167">
        <v>36416.555870841992</v>
      </c>
      <c r="X22" s="167">
        <v>35322.507395547778</v>
      </c>
      <c r="Y22" s="167">
        <v>34608.710848989234</v>
      </c>
      <c r="Z22" s="167">
        <v>33659.332422151732</v>
      </c>
      <c r="AA22" s="167">
        <v>37072.83325732113</v>
      </c>
      <c r="AB22" s="167">
        <v>34720.0532687999</v>
      </c>
      <c r="AC22" s="167">
        <v>36085.498338122488</v>
      </c>
      <c r="AD22" s="167">
        <v>28378.470759649234</v>
      </c>
      <c r="AE22" s="167">
        <v>29626.103765822972</v>
      </c>
      <c r="AF22" s="167">
        <v>25404.081871474238</v>
      </c>
      <c r="AG22" s="167">
        <v>25778.652547364178</v>
      </c>
      <c r="AH22" s="167">
        <v>24866.736148780361</v>
      </c>
      <c r="AI22" s="167">
        <v>25643.662323450895</v>
      </c>
      <c r="AJ22" s="167">
        <v>24312.119816743623</v>
      </c>
      <c r="AK22" s="167">
        <v>22907.020723397054</v>
      </c>
      <c r="AL22" s="167">
        <v>21313.150548783266</v>
      </c>
    </row>
    <row r="23" spans="2:38" s="150" customFormat="1" ht="18.75" customHeight="1">
      <c r="B23" s="19" t="s">
        <v>17</v>
      </c>
      <c r="C23" s="159" t="s">
        <v>230</v>
      </c>
      <c r="D23" s="168">
        <v>128635.75238552522</v>
      </c>
      <c r="E23" s="168">
        <v>131347.14662299064</v>
      </c>
      <c r="F23" s="168">
        <v>123327.00797880017</v>
      </c>
      <c r="G23" s="168">
        <v>133859.61345237761</v>
      </c>
      <c r="H23" s="168">
        <v>128334.83189002777</v>
      </c>
      <c r="I23" s="168">
        <v>128972.93298176375</v>
      </c>
      <c r="J23" s="168">
        <v>142277.08215599696</v>
      </c>
      <c r="K23" s="168">
        <v>138272.16919053724</v>
      </c>
      <c r="L23" s="168">
        <v>131921.53854877528</v>
      </c>
      <c r="M23" s="168">
        <v>119789.68108472301</v>
      </c>
      <c r="N23" s="168">
        <v>117779.73381242254</v>
      </c>
      <c r="O23" s="168">
        <v>131145.06817150535</v>
      </c>
      <c r="P23" s="168">
        <v>121124.71687363317</v>
      </c>
      <c r="Q23" s="168">
        <v>121493.63958972215</v>
      </c>
      <c r="R23" s="168">
        <v>113463.38350681831</v>
      </c>
      <c r="S23" s="168">
        <v>110842.66693511922</v>
      </c>
      <c r="T23" s="168">
        <v>112775.62165864948</v>
      </c>
      <c r="U23" s="168">
        <v>86179.775110707356</v>
      </c>
      <c r="V23" s="168">
        <v>105658.19787746127</v>
      </c>
      <c r="W23" s="168">
        <v>97984.694489914807</v>
      </c>
      <c r="X23" s="168">
        <v>104534.03862689278</v>
      </c>
      <c r="Y23" s="168">
        <v>87274.78583989969</v>
      </c>
      <c r="Z23" s="168">
        <v>94039.547266293797</v>
      </c>
      <c r="AA23" s="168">
        <v>99298.652545719786</v>
      </c>
      <c r="AB23" s="168">
        <v>83174.018181822932</v>
      </c>
      <c r="AC23" s="168">
        <v>87683.170187326323</v>
      </c>
      <c r="AD23" s="168">
        <v>90715.871619795871</v>
      </c>
      <c r="AE23" s="168">
        <v>89255.160012378896</v>
      </c>
      <c r="AF23" s="168">
        <v>88554.455650014992</v>
      </c>
      <c r="AG23" s="168">
        <v>94229.884805092181</v>
      </c>
      <c r="AH23" s="168">
        <v>95529.241286484103</v>
      </c>
      <c r="AI23" s="168">
        <v>91202.578160127363</v>
      </c>
      <c r="AJ23" s="168">
        <v>83856.903040870864</v>
      </c>
      <c r="AK23" s="168">
        <v>77944.94325653321</v>
      </c>
      <c r="AL23" s="168">
        <v>77135.181792681178</v>
      </c>
    </row>
    <row r="24" spans="2:38" s="150" customFormat="1" ht="18.75" customHeight="1">
      <c r="B24" s="90" t="s">
        <v>73</v>
      </c>
      <c r="C24" s="160" t="s">
        <v>231</v>
      </c>
      <c r="D24" s="167">
        <v>11764.620901518216</v>
      </c>
      <c r="E24" s="167">
        <v>8412.7639643454841</v>
      </c>
      <c r="F24" s="167">
        <v>6400.6949516675804</v>
      </c>
      <c r="G24" s="167">
        <v>5138.2689588242902</v>
      </c>
      <c r="H24" s="167">
        <v>4760.9368279777709</v>
      </c>
      <c r="I24" s="167">
        <v>3982.8719192493377</v>
      </c>
      <c r="J24" s="167">
        <v>3119.6952962712967</v>
      </c>
      <c r="K24" s="167">
        <v>3013.0385778032123</v>
      </c>
      <c r="L24" s="167">
        <v>3024.0874859460791</v>
      </c>
      <c r="M24" s="167">
        <v>2582.4576950732171</v>
      </c>
      <c r="N24" s="167">
        <v>2313.566993652526</v>
      </c>
      <c r="O24" s="167">
        <v>1896.0881791489458</v>
      </c>
      <c r="P24" s="167">
        <v>1933.9718462158039</v>
      </c>
      <c r="Q24" s="167">
        <v>2011.805208299696</v>
      </c>
      <c r="R24" s="167">
        <v>1726.9238257855191</v>
      </c>
      <c r="S24" s="167">
        <v>1758.3128359867642</v>
      </c>
      <c r="T24" s="167">
        <v>1602.9174942017332</v>
      </c>
      <c r="U24" s="167">
        <v>1328.9777549018263</v>
      </c>
      <c r="V24" s="167">
        <v>1353.9155486026016</v>
      </c>
      <c r="W24" s="167">
        <v>1379.1968405645443</v>
      </c>
      <c r="X24" s="167">
        <v>1337.519705301183</v>
      </c>
      <c r="Y24" s="167">
        <v>1236.5063368957203</v>
      </c>
      <c r="Z24" s="167">
        <v>1027.0981983882084</v>
      </c>
      <c r="AA24" s="167">
        <v>1066.0307578685918</v>
      </c>
      <c r="AB24" s="167">
        <v>997.36238986288993</v>
      </c>
      <c r="AC24" s="167">
        <v>989.44495141611753</v>
      </c>
      <c r="AD24" s="167">
        <v>1026.7580553685759</v>
      </c>
      <c r="AE24" s="167">
        <v>846.92061102097466</v>
      </c>
      <c r="AF24" s="167">
        <v>755.48238969376337</v>
      </c>
      <c r="AG24" s="167">
        <v>916.86669895397904</v>
      </c>
      <c r="AH24" s="167">
        <v>783.80687404730566</v>
      </c>
      <c r="AI24" s="167">
        <v>976.16278230742694</v>
      </c>
      <c r="AJ24" s="167">
        <v>857.78022821138416</v>
      </c>
      <c r="AK24" s="167">
        <v>822.72513618319999</v>
      </c>
      <c r="AL24" s="167">
        <v>853.834608517589</v>
      </c>
    </row>
    <row r="25" spans="2:38" s="150" customFormat="1" ht="18.75" customHeight="1">
      <c r="B25" s="19"/>
      <c r="C25" s="159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</row>
    <row r="26" spans="2:38" s="10" customFormat="1" ht="18.75" customHeight="1">
      <c r="B26" s="153" t="s">
        <v>14</v>
      </c>
      <c r="C26" s="22" t="s">
        <v>3</v>
      </c>
      <c r="D26" s="165">
        <f>SUMIF(D27:D30,"&lt;1E+307")</f>
        <v>160347.11504667834</v>
      </c>
      <c r="E26" s="165">
        <f t="shared" ref="E26:AE26" si="17">SUMIF(E27:E30,"&lt;1E+307")</f>
        <v>163514.85782444853</v>
      </c>
      <c r="F26" s="165">
        <f t="shared" si="17"/>
        <v>169457.04276517237</v>
      </c>
      <c r="G26" s="165">
        <f t="shared" si="17"/>
        <v>173837.90700542636</v>
      </c>
      <c r="H26" s="165">
        <f t="shared" si="17"/>
        <v>169969.30539069153</v>
      </c>
      <c r="I26" s="165">
        <f t="shared" si="17"/>
        <v>173615.96712388456</v>
      </c>
      <c r="J26" s="165">
        <f t="shared" si="17"/>
        <v>173264.35869214643</v>
      </c>
      <c r="K26" s="165">
        <f t="shared" si="17"/>
        <v>173776.88289254709</v>
      </c>
      <c r="L26" s="165">
        <f t="shared" si="17"/>
        <v>177130.19179578702</v>
      </c>
      <c r="M26" s="165">
        <f t="shared" si="17"/>
        <v>182335.61759446247</v>
      </c>
      <c r="N26" s="165">
        <f t="shared" si="17"/>
        <v>178581.4370964168</v>
      </c>
      <c r="O26" s="165">
        <f t="shared" si="17"/>
        <v>174797.22452512517</v>
      </c>
      <c r="P26" s="165">
        <f t="shared" si="17"/>
        <v>172748.12216841755</v>
      </c>
      <c r="Q26" s="165">
        <f t="shared" si="17"/>
        <v>163899.99835452923</v>
      </c>
      <c r="R26" s="165">
        <f t="shared" si="17"/>
        <v>158410.76687976319</v>
      </c>
      <c r="S26" s="165">
        <f t="shared" si="17"/>
        <v>154417.66476367123</v>
      </c>
      <c r="T26" s="165">
        <f t="shared" si="17"/>
        <v>159134.71327489649</v>
      </c>
      <c r="U26" s="165">
        <f t="shared" si="17"/>
        <v>151326.55815121168</v>
      </c>
      <c r="V26" s="165">
        <f t="shared" si="17"/>
        <v>156210.46922641865</v>
      </c>
      <c r="W26" s="165">
        <f t="shared" si="17"/>
        <v>150836.89420222654</v>
      </c>
      <c r="X26" s="165">
        <f t="shared" si="17"/>
        <v>149273.54999331821</v>
      </c>
      <c r="Y26" s="165">
        <f t="shared" si="17"/>
        <v>151069.56807472557</v>
      </c>
      <c r="Z26" s="165">
        <f t="shared" si="17"/>
        <v>149352.88561226078</v>
      </c>
      <c r="AA26" s="165">
        <f t="shared" si="17"/>
        <v>153335.52763495015</v>
      </c>
      <c r="AB26" s="165">
        <f t="shared" si="17"/>
        <v>152466.87688702584</v>
      </c>
      <c r="AC26" s="165">
        <f t="shared" si="17"/>
        <v>160222.81627015921</v>
      </c>
      <c r="AD26" s="165">
        <f t="shared" si="17"/>
        <v>162266.22673693392</v>
      </c>
      <c r="AE26" s="165">
        <f t="shared" si="17"/>
        <v>163551.615026076</v>
      </c>
      <c r="AF26" s="165">
        <f t="shared" ref="AF26:AG26" si="18">SUMIF(AF27:AF30,"&lt;1E+307")</f>
        <v>163678.85589821616</v>
      </c>
      <c r="AG26" s="165">
        <f t="shared" si="18"/>
        <v>162616.49310962381</v>
      </c>
      <c r="AH26" s="165">
        <f t="shared" ref="AH26" si="19">SUMIF(AH27:AH30,"&lt;1E+307")</f>
        <v>144762.99343782247</v>
      </c>
      <c r="AI26" s="165">
        <f t="shared" ref="AI26" si="20">SUMIF(AI27:AI30,"&lt;1E+307")</f>
        <v>143006.88135977567</v>
      </c>
      <c r="AJ26" s="165">
        <f t="shared" ref="AJ26:AK26" si="21">SUMIF(AJ27:AJ30,"&lt;1E+307")</f>
        <v>146067.14049786454</v>
      </c>
      <c r="AK26" s="165">
        <f t="shared" si="21"/>
        <v>143550.86315608764</v>
      </c>
      <c r="AL26" s="165">
        <f t="shared" ref="AL26" si="22">SUMIF(AL27:AL30,"&lt;1E+307")</f>
        <v>141520.16325846978</v>
      </c>
    </row>
    <row r="27" spans="2:38" s="150" customFormat="1" ht="18.75" customHeight="1">
      <c r="B27" s="19" t="s">
        <v>4</v>
      </c>
      <c r="C27" s="159" t="s">
        <v>232</v>
      </c>
      <c r="D27" s="168">
        <v>2310.4786664437547</v>
      </c>
      <c r="E27" s="168">
        <v>2227.7030560605326</v>
      </c>
      <c r="F27" s="168">
        <v>2264.4625149818316</v>
      </c>
      <c r="G27" s="168">
        <v>2178.4526010572731</v>
      </c>
      <c r="H27" s="168">
        <v>2160.1096738477891</v>
      </c>
      <c r="I27" s="168">
        <v>2266.7127579542203</v>
      </c>
      <c r="J27" s="168">
        <v>2182.4985538743331</v>
      </c>
      <c r="K27" s="168">
        <v>2292.8227897254369</v>
      </c>
      <c r="L27" s="168">
        <v>2304.0245636092736</v>
      </c>
      <c r="M27" s="168">
        <v>2345.8488183459235</v>
      </c>
      <c r="N27" s="168">
        <v>2467.4990434870119</v>
      </c>
      <c r="O27" s="168">
        <v>2384.5692863471945</v>
      </c>
      <c r="P27" s="168">
        <v>2274.5462145656543</v>
      </c>
      <c r="Q27" s="168">
        <v>2261.7037347462542</v>
      </c>
      <c r="R27" s="168">
        <v>2233.5395002200848</v>
      </c>
      <c r="S27" s="168">
        <v>2259.543573216818</v>
      </c>
      <c r="T27" s="168">
        <v>2312.7741056098494</v>
      </c>
      <c r="U27" s="168">
        <v>2381.7844145424142</v>
      </c>
      <c r="V27" s="168">
        <v>2406.011276965713</v>
      </c>
      <c r="W27" s="168">
        <v>2259.9047725294358</v>
      </c>
      <c r="X27" s="168">
        <v>2247.9054147265069</v>
      </c>
      <c r="Y27" s="168">
        <v>2270.2594054287893</v>
      </c>
      <c r="Z27" s="168">
        <v>2158.0062468378328</v>
      </c>
      <c r="AA27" s="168">
        <v>1950.0979700089258</v>
      </c>
      <c r="AB27" s="168">
        <v>1971.606551325274</v>
      </c>
      <c r="AC27" s="168">
        <v>2057.1904007173262</v>
      </c>
      <c r="AD27" s="168">
        <v>2064.3191719500878</v>
      </c>
      <c r="AE27" s="168">
        <v>2001.842582424767</v>
      </c>
      <c r="AF27" s="168">
        <v>1993.9279350685754</v>
      </c>
      <c r="AG27" s="168">
        <v>2054.5740896384582</v>
      </c>
      <c r="AH27" s="168">
        <v>919.86911357064639</v>
      </c>
      <c r="AI27" s="168">
        <v>709.41702968679215</v>
      </c>
      <c r="AJ27" s="168">
        <v>1030.8512869425831</v>
      </c>
      <c r="AK27" s="168">
        <v>1082.4427932702713</v>
      </c>
      <c r="AL27" s="168">
        <v>1092.976092118058</v>
      </c>
    </row>
    <row r="28" spans="2:38" s="150" customFormat="1" ht="18.75" customHeight="1">
      <c r="B28" s="90" t="s">
        <v>5</v>
      </c>
      <c r="C28" s="160" t="s">
        <v>233</v>
      </c>
      <c r="D28" s="167">
        <v>151889.81299472114</v>
      </c>
      <c r="E28" s="167">
        <v>155595.14094921955</v>
      </c>
      <c r="F28" s="167">
        <v>161489.7846537873</v>
      </c>
      <c r="G28" s="167">
        <v>165982.56939792776</v>
      </c>
      <c r="H28" s="167">
        <v>162377.13866099948</v>
      </c>
      <c r="I28" s="167">
        <v>166451.96297175373</v>
      </c>
      <c r="J28" s="167">
        <v>166484.90032374903</v>
      </c>
      <c r="K28" s="167">
        <v>167393.05085593503</v>
      </c>
      <c r="L28" s="167">
        <v>170835.29931480688</v>
      </c>
      <c r="M28" s="167">
        <v>176348.41496083423</v>
      </c>
      <c r="N28" s="167">
        <v>172541.32803095697</v>
      </c>
      <c r="O28" s="167">
        <v>169013.71950941952</v>
      </c>
      <c r="P28" s="167">
        <v>167277.59428283264</v>
      </c>
      <c r="Q28" s="167">
        <v>158131.43037994657</v>
      </c>
      <c r="R28" s="167">
        <v>152648.62269228598</v>
      </c>
      <c r="S28" s="167">
        <v>148610.83774719143</v>
      </c>
      <c r="T28" s="167">
        <v>153403.76021423651</v>
      </c>
      <c r="U28" s="167">
        <v>145768.71176021697</v>
      </c>
      <c r="V28" s="167">
        <v>150437.17928241377</v>
      </c>
      <c r="W28" s="167">
        <v>145687.23837821008</v>
      </c>
      <c r="X28" s="167">
        <v>143967.44079637516</v>
      </c>
      <c r="Y28" s="167">
        <v>145863.14496405426</v>
      </c>
      <c r="Z28" s="167">
        <v>144294.95441574274</v>
      </c>
      <c r="AA28" s="167">
        <v>148471.15949699775</v>
      </c>
      <c r="AB28" s="167">
        <v>147663.59045672166</v>
      </c>
      <c r="AC28" s="167">
        <v>155273.14381397661</v>
      </c>
      <c r="AD28" s="167">
        <v>157352.48244868117</v>
      </c>
      <c r="AE28" s="167">
        <v>158877.04742423346</v>
      </c>
      <c r="AF28" s="167">
        <v>159104.41274636009</v>
      </c>
      <c r="AG28" s="167">
        <v>157882.8703188714</v>
      </c>
      <c r="AH28" s="167">
        <v>141292.97049749599</v>
      </c>
      <c r="AI28" s="167">
        <v>139861.20489342199</v>
      </c>
      <c r="AJ28" s="167">
        <v>142889.26068905811</v>
      </c>
      <c r="AK28" s="167">
        <v>140312.98803686516</v>
      </c>
      <c r="AL28" s="167">
        <v>138256.44481704483</v>
      </c>
    </row>
    <row r="29" spans="2:38" s="150" customFormat="1" ht="18.75" customHeight="1">
      <c r="B29" s="19" t="s">
        <v>6</v>
      </c>
      <c r="C29" s="159" t="s">
        <v>234</v>
      </c>
      <c r="D29" s="168">
        <v>3133.0535600026619</v>
      </c>
      <c r="E29" s="168">
        <v>2794.0998318490501</v>
      </c>
      <c r="F29" s="168">
        <v>2743.1183947901004</v>
      </c>
      <c r="G29" s="168">
        <v>2731.9642548982797</v>
      </c>
      <c r="H29" s="168">
        <v>2541.1591683233091</v>
      </c>
      <c r="I29" s="168">
        <v>2458.4854295312339</v>
      </c>
      <c r="J29" s="168">
        <v>2336.9013624164345</v>
      </c>
      <c r="K29" s="168">
        <v>2159.8087053590143</v>
      </c>
      <c r="L29" s="168">
        <v>2040.2797572398131</v>
      </c>
      <c r="M29" s="168">
        <v>1927.7200238221876</v>
      </c>
      <c r="N29" s="168">
        <v>1944.6853069512742</v>
      </c>
      <c r="O29" s="168">
        <v>1784.0985127233014</v>
      </c>
      <c r="P29" s="168">
        <v>1654.2020481412496</v>
      </c>
      <c r="Q29" s="168">
        <v>1623.2046377414224</v>
      </c>
      <c r="R29" s="168">
        <v>1533.2897294522131</v>
      </c>
      <c r="S29" s="168">
        <v>1425.7199802654243</v>
      </c>
      <c r="T29" s="168">
        <v>1288.5645548541474</v>
      </c>
      <c r="U29" s="168">
        <v>1245.7626078264689</v>
      </c>
      <c r="V29" s="168">
        <v>1212.8911518842779</v>
      </c>
      <c r="W29" s="168">
        <v>1096.9169221999152</v>
      </c>
      <c r="X29" s="168">
        <v>1117.7607009714084</v>
      </c>
      <c r="Y29" s="168">
        <v>1129.0187304453152</v>
      </c>
      <c r="Z29" s="168">
        <v>1039.4463274940258</v>
      </c>
      <c r="AA29" s="168">
        <v>1057.378811936331</v>
      </c>
      <c r="AB29" s="168">
        <v>945.97670701739037</v>
      </c>
      <c r="AC29" s="168">
        <v>1021.8920485100422</v>
      </c>
      <c r="AD29" s="168">
        <v>1056.5845666742675</v>
      </c>
      <c r="AE29" s="168">
        <v>876.57183596958134</v>
      </c>
      <c r="AF29" s="168">
        <v>733.93359417210127</v>
      </c>
      <c r="AG29" s="168">
        <v>831.98157412543651</v>
      </c>
      <c r="AH29" s="168">
        <v>830.39104256292546</v>
      </c>
      <c r="AI29" s="168">
        <v>853.31966679420873</v>
      </c>
      <c r="AJ29" s="168">
        <v>809.6105880191609</v>
      </c>
      <c r="AK29" s="168">
        <v>776.79290625024578</v>
      </c>
      <c r="AL29" s="168">
        <v>755.5190478235105</v>
      </c>
    </row>
    <row r="30" spans="2:38" s="150" customFormat="1" ht="18.75" customHeight="1">
      <c r="B30" s="90" t="s">
        <v>7</v>
      </c>
      <c r="C30" s="160" t="s">
        <v>235</v>
      </c>
      <c r="D30" s="167">
        <v>3013.7698255107948</v>
      </c>
      <c r="E30" s="167">
        <v>2897.9139873193981</v>
      </c>
      <c r="F30" s="167">
        <v>2959.6772016131572</v>
      </c>
      <c r="G30" s="167">
        <v>2944.9207515430498</v>
      </c>
      <c r="H30" s="167">
        <v>2890.8978875209641</v>
      </c>
      <c r="I30" s="167">
        <v>2438.8059646453662</v>
      </c>
      <c r="J30" s="167">
        <v>2260.0584521066644</v>
      </c>
      <c r="K30" s="167">
        <v>1931.2005415275864</v>
      </c>
      <c r="L30" s="167">
        <v>1950.5881601310321</v>
      </c>
      <c r="M30" s="167">
        <v>1713.6337914601409</v>
      </c>
      <c r="N30" s="167">
        <v>1627.924715021544</v>
      </c>
      <c r="O30" s="167">
        <v>1614.8372166351385</v>
      </c>
      <c r="P30" s="167">
        <v>1541.7796228780146</v>
      </c>
      <c r="Q30" s="167">
        <v>1883.6596020949987</v>
      </c>
      <c r="R30" s="167">
        <v>1995.3149578048769</v>
      </c>
      <c r="S30" s="167">
        <v>2121.5634629975448</v>
      </c>
      <c r="T30" s="167">
        <v>2129.6144001959633</v>
      </c>
      <c r="U30" s="167">
        <v>1930.2993686258401</v>
      </c>
      <c r="V30" s="167">
        <v>2154.3875151549091</v>
      </c>
      <c r="W30" s="167">
        <v>1792.8341292870991</v>
      </c>
      <c r="X30" s="167">
        <v>1940.4430812451546</v>
      </c>
      <c r="Y30" s="167">
        <v>1807.1449747971981</v>
      </c>
      <c r="Z30" s="167">
        <v>1860.4786221861812</v>
      </c>
      <c r="AA30" s="167">
        <v>1856.8913560071371</v>
      </c>
      <c r="AB30" s="167">
        <v>1885.7031719614931</v>
      </c>
      <c r="AC30" s="167">
        <v>1870.5900069552254</v>
      </c>
      <c r="AD30" s="167">
        <v>1792.8405496284338</v>
      </c>
      <c r="AE30" s="167">
        <v>1796.1531834482194</v>
      </c>
      <c r="AF30" s="167">
        <v>1846.5816226153888</v>
      </c>
      <c r="AG30" s="167">
        <v>1847.0671269885249</v>
      </c>
      <c r="AH30" s="167">
        <v>1719.762784192912</v>
      </c>
      <c r="AI30" s="167">
        <v>1582.9397698726561</v>
      </c>
      <c r="AJ30" s="167">
        <v>1337.417933844707</v>
      </c>
      <c r="AK30" s="167">
        <v>1378.6394197019531</v>
      </c>
      <c r="AL30" s="167">
        <v>1415.2233014833753</v>
      </c>
    </row>
    <row r="31" spans="2:38" s="150" customFormat="1" ht="18.75" customHeight="1">
      <c r="B31" s="19"/>
      <c r="C31" s="159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</row>
    <row r="32" spans="2:38" s="10" customFormat="1" ht="18.75" customHeight="1">
      <c r="B32" s="153" t="s">
        <v>15</v>
      </c>
      <c r="C32" s="22" t="s">
        <v>3</v>
      </c>
      <c r="D32" s="165">
        <f>SUMIF(D33:D40,"&lt;1E+307")</f>
        <v>14550.268126707142</v>
      </c>
      <c r="E32" s="165">
        <f t="shared" ref="E32:AG32" si="23">SUMIF(E33:E40,"&lt;1E+307")</f>
        <v>12620.912358954307</v>
      </c>
      <c r="F32" s="165">
        <f t="shared" si="23"/>
        <v>11802.615094885687</v>
      </c>
      <c r="G32" s="165">
        <f t="shared" si="23"/>
        <v>11906.189004775853</v>
      </c>
      <c r="H32" s="165">
        <f t="shared" si="23"/>
        <v>11740.518872408475</v>
      </c>
      <c r="I32" s="165">
        <f t="shared" si="23"/>
        <v>11949.773435684161</v>
      </c>
      <c r="J32" s="165">
        <f t="shared" si="23"/>
        <v>13137.892681888403</v>
      </c>
      <c r="K32" s="165">
        <f t="shared" si="23"/>
        <v>12059.184437572294</v>
      </c>
      <c r="L32" s="165">
        <f t="shared" si="23"/>
        <v>11676.520856646594</v>
      </c>
      <c r="M32" s="165">
        <f t="shared" si="23"/>
        <v>11948.506937946289</v>
      </c>
      <c r="N32" s="165">
        <f t="shared" si="23"/>
        <v>11075.315946553608</v>
      </c>
      <c r="O32" s="165">
        <f t="shared" si="23"/>
        <v>11333.915221445082</v>
      </c>
      <c r="P32" s="165">
        <f t="shared" si="23"/>
        <v>10913.101817902641</v>
      </c>
      <c r="Q32" s="165">
        <f t="shared" si="23"/>
        <v>10536.748011751952</v>
      </c>
      <c r="R32" s="165">
        <f t="shared" si="23"/>
        <v>10199.367373519102</v>
      </c>
      <c r="S32" s="165">
        <f t="shared" si="23"/>
        <v>9891.007052356832</v>
      </c>
      <c r="T32" s="165">
        <f t="shared" si="23"/>
        <v>10179.162533931813</v>
      </c>
      <c r="U32" s="165">
        <f t="shared" si="23"/>
        <v>9500.3305040634004</v>
      </c>
      <c r="V32" s="165">
        <f t="shared" si="23"/>
        <v>10085.975881415841</v>
      </c>
      <c r="W32" s="165">
        <f t="shared" si="23"/>
        <v>9574.4923781334855</v>
      </c>
      <c r="X32" s="165">
        <f t="shared" si="23"/>
        <v>10089.079032602198</v>
      </c>
      <c r="Y32" s="165">
        <f t="shared" si="23"/>
        <v>10603.925026826737</v>
      </c>
      <c r="Z32" s="165">
        <f t="shared" si="23"/>
        <v>10367.062862030534</v>
      </c>
      <c r="AA32" s="165">
        <f t="shared" si="23"/>
        <v>10524.45573344052</v>
      </c>
      <c r="AB32" s="165">
        <f t="shared" si="23"/>
        <v>11193.110169214922</v>
      </c>
      <c r="AC32" s="165">
        <f t="shared" si="23"/>
        <v>10969.746533965686</v>
      </c>
      <c r="AD32" s="165">
        <f t="shared" si="23"/>
        <v>11085.240549620414</v>
      </c>
      <c r="AE32" s="165">
        <f t="shared" si="23"/>
        <v>10466.817468692056</v>
      </c>
      <c r="AF32" s="165">
        <f t="shared" si="23"/>
        <v>10495.502883822939</v>
      </c>
      <c r="AG32" s="165">
        <f t="shared" si="23"/>
        <v>10301.115718524083</v>
      </c>
      <c r="AH32" s="165">
        <f t="shared" ref="AH32" si="24">SUMIF(AH33:AH40,"&lt;1E+307")</f>
        <v>10463.861664556665</v>
      </c>
      <c r="AI32" s="165">
        <f t="shared" ref="AI32" si="25">SUMIF(AI33:AI40,"&lt;1E+307")</f>
        <v>10653.239781618598</v>
      </c>
      <c r="AJ32" s="165">
        <f t="shared" ref="AJ32:AK32" si="26">SUMIF(AJ33:AJ40,"&lt;1E+307")</f>
        <v>10468.778012034012</v>
      </c>
      <c r="AK32" s="165">
        <f t="shared" si="26"/>
        <v>10343.696826549351</v>
      </c>
      <c r="AL32" s="165">
        <f t="shared" ref="AL32" si="27">SUMIF(AL33:AL40,"&lt;1E+307")</f>
        <v>10450.155089445625</v>
      </c>
    </row>
    <row r="33" spans="2:38" s="150" customFormat="1" ht="18.75" customHeight="1">
      <c r="B33" s="19" t="s">
        <v>18</v>
      </c>
      <c r="C33" s="159" t="s">
        <v>236</v>
      </c>
      <c r="D33" s="168">
        <v>11359.814812405464</v>
      </c>
      <c r="E33" s="168">
        <v>9723.6029379462725</v>
      </c>
      <c r="F33" s="168">
        <v>9177.2662105661475</v>
      </c>
      <c r="G33" s="168">
        <v>9603.6209877838392</v>
      </c>
      <c r="H33" s="168">
        <v>9565.1527395069443</v>
      </c>
      <c r="I33" s="168">
        <v>9822.0031821822049</v>
      </c>
      <c r="J33" s="168">
        <v>10882.183213730947</v>
      </c>
      <c r="K33" s="168">
        <v>9703.8494671066037</v>
      </c>
      <c r="L33" s="168">
        <v>9193.5763910486658</v>
      </c>
      <c r="M33" s="168">
        <v>9304.4194902604177</v>
      </c>
      <c r="N33" s="168">
        <v>8420.1665154006205</v>
      </c>
      <c r="O33" s="168">
        <v>8668.9587368819448</v>
      </c>
      <c r="P33" s="168">
        <v>8361.2333905279829</v>
      </c>
      <c r="Q33" s="168">
        <v>8006.2418578753268</v>
      </c>
      <c r="R33" s="168">
        <v>7772.810013923101</v>
      </c>
      <c r="S33" s="168">
        <v>7514.8681213696545</v>
      </c>
      <c r="T33" s="168">
        <v>7823.9710676841287</v>
      </c>
      <c r="U33" s="168">
        <v>7092.7254682608227</v>
      </c>
      <c r="V33" s="168">
        <v>7585.9061451890238</v>
      </c>
      <c r="W33" s="168">
        <v>7108.5007532802229</v>
      </c>
      <c r="X33" s="168">
        <v>7572.0880429378076</v>
      </c>
      <c r="Y33" s="168">
        <v>8092.5293739366416</v>
      </c>
      <c r="Z33" s="168">
        <v>7731.1581873805972</v>
      </c>
      <c r="AA33" s="168">
        <v>7787.0872615344606</v>
      </c>
      <c r="AB33" s="168">
        <v>8289.9264241793935</v>
      </c>
      <c r="AC33" s="168">
        <v>8041.789916337304</v>
      </c>
      <c r="AD33" s="168">
        <v>8162.6115752212718</v>
      </c>
      <c r="AE33" s="168">
        <v>7596.5832695920499</v>
      </c>
      <c r="AF33" s="168">
        <v>7640.1050509549405</v>
      </c>
      <c r="AG33" s="168">
        <v>7570.312141475225</v>
      </c>
      <c r="AH33" s="168">
        <v>7835.3604810882825</v>
      </c>
      <c r="AI33" s="168">
        <v>8097.7817078429134</v>
      </c>
      <c r="AJ33" s="168">
        <v>7949.6763260855905</v>
      </c>
      <c r="AK33" s="168">
        <v>7879.8507111663303</v>
      </c>
      <c r="AL33" s="168">
        <v>8141.148278395277</v>
      </c>
    </row>
    <row r="34" spans="2:38" s="150" customFormat="1" ht="18.75" customHeight="1">
      <c r="B34" s="90" t="s">
        <v>30</v>
      </c>
      <c r="C34" s="160" t="s">
        <v>237</v>
      </c>
      <c r="D34" s="167">
        <v>0</v>
      </c>
      <c r="E34" s="167">
        <v>0</v>
      </c>
      <c r="F34" s="167">
        <v>0</v>
      </c>
      <c r="G34" s="167">
        <v>0</v>
      </c>
      <c r="H34" s="167">
        <v>0</v>
      </c>
      <c r="I34" s="167">
        <v>0</v>
      </c>
      <c r="J34" s="167">
        <v>0</v>
      </c>
      <c r="K34" s="167">
        <v>0</v>
      </c>
      <c r="L34" s="167">
        <v>0</v>
      </c>
      <c r="M34" s="167">
        <v>0</v>
      </c>
      <c r="N34" s="167">
        <v>0</v>
      </c>
      <c r="O34" s="167">
        <v>0</v>
      </c>
      <c r="P34" s="167">
        <v>0</v>
      </c>
      <c r="Q34" s="167">
        <v>0</v>
      </c>
      <c r="R34" s="167">
        <v>0</v>
      </c>
      <c r="S34" s="167">
        <v>0</v>
      </c>
      <c r="T34" s="167">
        <v>0</v>
      </c>
      <c r="U34" s="167">
        <v>0</v>
      </c>
      <c r="V34" s="167">
        <v>0</v>
      </c>
      <c r="W34" s="167">
        <v>0</v>
      </c>
      <c r="X34" s="167">
        <v>0</v>
      </c>
      <c r="Y34" s="167">
        <v>0</v>
      </c>
      <c r="Z34" s="167">
        <v>0</v>
      </c>
      <c r="AA34" s="167">
        <v>0</v>
      </c>
      <c r="AB34" s="167">
        <v>0</v>
      </c>
      <c r="AC34" s="167">
        <v>0</v>
      </c>
      <c r="AD34" s="167">
        <v>0</v>
      </c>
      <c r="AE34" s="167">
        <v>0</v>
      </c>
      <c r="AF34" s="167">
        <v>0</v>
      </c>
      <c r="AG34" s="167">
        <v>0</v>
      </c>
      <c r="AH34" s="167">
        <v>0</v>
      </c>
      <c r="AI34" s="167">
        <v>0</v>
      </c>
      <c r="AJ34" s="167">
        <v>0</v>
      </c>
      <c r="AK34" s="167">
        <v>0</v>
      </c>
      <c r="AL34" s="167">
        <v>0</v>
      </c>
    </row>
    <row r="35" spans="2:38" s="150" customFormat="1" ht="18.75" customHeight="1">
      <c r="B35" s="19" t="s">
        <v>31</v>
      </c>
      <c r="C35" s="159" t="s">
        <v>238</v>
      </c>
      <c r="D35" s="168">
        <v>0</v>
      </c>
      <c r="E35" s="168">
        <v>0</v>
      </c>
      <c r="F35" s="168">
        <v>0</v>
      </c>
      <c r="G35" s="168">
        <v>0</v>
      </c>
      <c r="H35" s="168">
        <v>0</v>
      </c>
      <c r="I35" s="168">
        <v>0</v>
      </c>
      <c r="J35" s="168">
        <v>0</v>
      </c>
      <c r="K35" s="168">
        <v>0</v>
      </c>
      <c r="L35" s="168">
        <v>0</v>
      </c>
      <c r="M35" s="168">
        <v>0</v>
      </c>
      <c r="N35" s="168">
        <v>0</v>
      </c>
      <c r="O35" s="168">
        <v>0</v>
      </c>
      <c r="P35" s="168">
        <v>0</v>
      </c>
      <c r="Q35" s="168">
        <v>0</v>
      </c>
      <c r="R35" s="168">
        <v>0</v>
      </c>
      <c r="S35" s="168">
        <v>0</v>
      </c>
      <c r="T35" s="168">
        <v>0</v>
      </c>
      <c r="U35" s="168">
        <v>0</v>
      </c>
      <c r="V35" s="168">
        <v>0</v>
      </c>
      <c r="W35" s="168">
        <v>0</v>
      </c>
      <c r="X35" s="168">
        <v>0</v>
      </c>
      <c r="Y35" s="168">
        <v>0</v>
      </c>
      <c r="Z35" s="168">
        <v>0</v>
      </c>
      <c r="AA35" s="168">
        <v>0</v>
      </c>
      <c r="AB35" s="168">
        <v>0</v>
      </c>
      <c r="AC35" s="168">
        <v>0</v>
      </c>
      <c r="AD35" s="168">
        <v>0</v>
      </c>
      <c r="AE35" s="168">
        <v>0</v>
      </c>
      <c r="AF35" s="168">
        <v>0</v>
      </c>
      <c r="AG35" s="168">
        <v>0</v>
      </c>
      <c r="AH35" s="168">
        <v>0</v>
      </c>
      <c r="AI35" s="168">
        <v>0</v>
      </c>
      <c r="AJ35" s="168">
        <v>0</v>
      </c>
      <c r="AK35" s="168">
        <v>0</v>
      </c>
      <c r="AL35" s="168">
        <v>0</v>
      </c>
    </row>
    <row r="36" spans="2:38" s="150" customFormat="1" ht="18.75" customHeight="1">
      <c r="B36" s="90" t="s">
        <v>32</v>
      </c>
      <c r="C36" s="160" t="s">
        <v>239</v>
      </c>
      <c r="D36" s="167">
        <v>0</v>
      </c>
      <c r="E36" s="167">
        <v>0</v>
      </c>
      <c r="F36" s="167">
        <v>0</v>
      </c>
      <c r="G36" s="167">
        <v>0</v>
      </c>
      <c r="H36" s="167">
        <v>0</v>
      </c>
      <c r="I36" s="167">
        <v>0</v>
      </c>
      <c r="J36" s="167">
        <v>0</v>
      </c>
      <c r="K36" s="167">
        <v>0</v>
      </c>
      <c r="L36" s="167">
        <v>0</v>
      </c>
      <c r="M36" s="167">
        <v>0</v>
      </c>
      <c r="N36" s="167">
        <v>0</v>
      </c>
      <c r="O36" s="167">
        <v>0</v>
      </c>
      <c r="P36" s="167">
        <v>0</v>
      </c>
      <c r="Q36" s="167">
        <v>0</v>
      </c>
      <c r="R36" s="167">
        <v>0</v>
      </c>
      <c r="S36" s="167">
        <v>0</v>
      </c>
      <c r="T36" s="167">
        <v>0</v>
      </c>
      <c r="U36" s="167">
        <v>0</v>
      </c>
      <c r="V36" s="167">
        <v>0</v>
      </c>
      <c r="W36" s="167">
        <v>0</v>
      </c>
      <c r="X36" s="167">
        <v>0</v>
      </c>
      <c r="Y36" s="167">
        <v>0</v>
      </c>
      <c r="Z36" s="167">
        <v>0</v>
      </c>
      <c r="AA36" s="167">
        <v>0</v>
      </c>
      <c r="AB36" s="167">
        <v>0</v>
      </c>
      <c r="AC36" s="167">
        <v>0</v>
      </c>
      <c r="AD36" s="167">
        <v>0</v>
      </c>
      <c r="AE36" s="167">
        <v>0</v>
      </c>
      <c r="AF36" s="167">
        <v>0</v>
      </c>
      <c r="AG36" s="167">
        <v>0</v>
      </c>
      <c r="AH36" s="167">
        <v>0</v>
      </c>
      <c r="AI36" s="167">
        <v>0</v>
      </c>
      <c r="AJ36" s="167">
        <v>0</v>
      </c>
      <c r="AK36" s="167">
        <v>0</v>
      </c>
      <c r="AL36" s="167">
        <v>0</v>
      </c>
    </row>
    <row r="37" spans="2:38" s="150" customFormat="1" ht="18.75" customHeight="1">
      <c r="B37" s="19" t="s">
        <v>33</v>
      </c>
      <c r="C37" s="159" t="s">
        <v>240</v>
      </c>
      <c r="D37" s="168">
        <v>2200.0091746331905</v>
      </c>
      <c r="E37" s="168">
        <v>1986.5760969733769</v>
      </c>
      <c r="F37" s="168">
        <v>1748.9646671605524</v>
      </c>
      <c r="G37" s="168">
        <v>1465.2322748345618</v>
      </c>
      <c r="H37" s="168">
        <v>1324.7076951720933</v>
      </c>
      <c r="I37" s="168">
        <v>1279.7427271810482</v>
      </c>
      <c r="J37" s="168">
        <v>1380.3173560578052</v>
      </c>
      <c r="K37" s="168">
        <v>1480.0880651919651</v>
      </c>
      <c r="L37" s="168">
        <v>1588.2379417548243</v>
      </c>
      <c r="M37" s="168">
        <v>1714.948024152578</v>
      </c>
      <c r="N37" s="168">
        <v>1695.3908956279254</v>
      </c>
      <c r="O37" s="168">
        <v>1694.2857411657083</v>
      </c>
      <c r="P37" s="168">
        <v>1592.1183269642136</v>
      </c>
      <c r="Q37" s="168">
        <v>1568.2396797721244</v>
      </c>
      <c r="R37" s="168">
        <v>1482.4714665403244</v>
      </c>
      <c r="S37" s="168">
        <v>1427.512953315917</v>
      </c>
      <c r="T37" s="168">
        <v>1438.4972361264711</v>
      </c>
      <c r="U37" s="168">
        <v>1477.1324157155898</v>
      </c>
      <c r="V37" s="168">
        <v>1544.7135040892247</v>
      </c>
      <c r="W37" s="168">
        <v>1521.9677557275461</v>
      </c>
      <c r="X37" s="168">
        <v>1549.0008412794591</v>
      </c>
      <c r="Y37" s="168">
        <v>1593.2639130940479</v>
      </c>
      <c r="Z37" s="168">
        <v>1692.0846129581978</v>
      </c>
      <c r="AA37" s="168">
        <v>1824.5301506517635</v>
      </c>
      <c r="AB37" s="168">
        <v>1917.2560062283042</v>
      </c>
      <c r="AC37" s="168">
        <v>1905.7889653428215</v>
      </c>
      <c r="AD37" s="168">
        <v>1881.7710978389953</v>
      </c>
      <c r="AE37" s="168">
        <v>1937.6313819510826</v>
      </c>
      <c r="AF37" s="168">
        <v>2047.4384710724457</v>
      </c>
      <c r="AG37" s="168">
        <v>2038.8381471044406</v>
      </c>
      <c r="AH37" s="168">
        <v>2009.7765735279881</v>
      </c>
      <c r="AI37" s="168">
        <v>1982.6148498016075</v>
      </c>
      <c r="AJ37" s="168">
        <v>1994.6207401739057</v>
      </c>
      <c r="AK37" s="168">
        <v>1960.1301645960275</v>
      </c>
      <c r="AL37" s="168">
        <v>1833.9958969471077</v>
      </c>
    </row>
    <row r="38" spans="2:38" s="150" customFormat="1" ht="18.75" customHeight="1">
      <c r="B38" s="90" t="s">
        <v>34</v>
      </c>
      <c r="C38" s="160" t="s">
        <v>241</v>
      </c>
      <c r="D38" s="167">
        <v>479.99756126848592</v>
      </c>
      <c r="E38" s="167">
        <v>437.08767815465711</v>
      </c>
      <c r="F38" s="167">
        <v>427.55946715898801</v>
      </c>
      <c r="G38" s="167">
        <v>422.13570376145344</v>
      </c>
      <c r="H38" s="167">
        <v>448.57249918943671</v>
      </c>
      <c r="I38" s="167">
        <v>458.53290458490926</v>
      </c>
      <c r="J38" s="167">
        <v>484.76947595965026</v>
      </c>
      <c r="K38" s="167">
        <v>497.80342831372576</v>
      </c>
      <c r="L38" s="167">
        <v>524.10390455510424</v>
      </c>
      <c r="M38" s="167">
        <v>551.55649974929247</v>
      </c>
      <c r="N38" s="167">
        <v>593.13021403706205</v>
      </c>
      <c r="O38" s="167">
        <v>621.65452353742978</v>
      </c>
      <c r="P38" s="167">
        <v>639.95328540244543</v>
      </c>
      <c r="Q38" s="167">
        <v>650.10104734449953</v>
      </c>
      <c r="R38" s="167">
        <v>634.30897589167773</v>
      </c>
      <c r="S38" s="167">
        <v>641.09414255526031</v>
      </c>
      <c r="T38" s="167">
        <v>630.93302353321212</v>
      </c>
      <c r="U38" s="167">
        <v>647.56030921898764</v>
      </c>
      <c r="V38" s="167">
        <v>694.62878537759286</v>
      </c>
      <c r="W38" s="167">
        <v>676.7553568457173</v>
      </c>
      <c r="X38" s="167">
        <v>710.75347585693021</v>
      </c>
      <c r="Y38" s="167">
        <v>654.02883303604756</v>
      </c>
      <c r="Z38" s="167">
        <v>689.90585683973961</v>
      </c>
      <c r="AA38" s="167">
        <v>672.55047587429522</v>
      </c>
      <c r="AB38" s="167">
        <v>749.704999659225</v>
      </c>
      <c r="AC38" s="167">
        <v>791.49504757356283</v>
      </c>
      <c r="AD38" s="167">
        <v>815.14216629614759</v>
      </c>
      <c r="AE38" s="167">
        <v>719.56657113292431</v>
      </c>
      <c r="AF38" s="167">
        <v>605.2506425715527</v>
      </c>
      <c r="AG38" s="167">
        <v>497.74816644041744</v>
      </c>
      <c r="AH38" s="167">
        <v>433.26538077639452</v>
      </c>
      <c r="AI38" s="167">
        <v>397.29616648607748</v>
      </c>
      <c r="AJ38" s="167">
        <v>366.99928552651539</v>
      </c>
      <c r="AK38" s="167">
        <v>360.08369032299225</v>
      </c>
      <c r="AL38" s="167">
        <v>330.20585700323971</v>
      </c>
    </row>
    <row r="39" spans="2:38" s="150" customFormat="1" ht="18.75" customHeight="1">
      <c r="B39" s="19" t="s">
        <v>35</v>
      </c>
      <c r="C39" s="159" t="s">
        <v>242</v>
      </c>
      <c r="D39" s="168">
        <v>510.44657839999996</v>
      </c>
      <c r="E39" s="168">
        <v>473.6456458799999</v>
      </c>
      <c r="F39" s="168">
        <v>448.82474999999999</v>
      </c>
      <c r="G39" s="168">
        <v>415.20003839600002</v>
      </c>
      <c r="H39" s="168">
        <v>402.08593853999992</v>
      </c>
      <c r="I39" s="168">
        <v>389.494621736</v>
      </c>
      <c r="J39" s="168">
        <v>390.62263613999994</v>
      </c>
      <c r="K39" s="168">
        <v>377.44347695999994</v>
      </c>
      <c r="L39" s="168">
        <v>370.60261928800003</v>
      </c>
      <c r="M39" s="168">
        <v>377.58292378399995</v>
      </c>
      <c r="N39" s="168">
        <v>366.62832148799998</v>
      </c>
      <c r="O39" s="168">
        <v>349.01621985999992</v>
      </c>
      <c r="P39" s="168">
        <v>319.79681500800001</v>
      </c>
      <c r="Q39" s="168">
        <v>312.16542676</v>
      </c>
      <c r="R39" s="168">
        <v>309.77691716399994</v>
      </c>
      <c r="S39" s="168">
        <v>307.53183511599997</v>
      </c>
      <c r="T39" s="168">
        <v>285.76120658800005</v>
      </c>
      <c r="U39" s="168">
        <v>282.91231086800002</v>
      </c>
      <c r="V39" s="168">
        <v>260.72744675999996</v>
      </c>
      <c r="W39" s="168">
        <v>267.26851228000004</v>
      </c>
      <c r="X39" s="168">
        <v>257.23667252799999</v>
      </c>
      <c r="Y39" s="168">
        <v>264.10290676</v>
      </c>
      <c r="Z39" s="168">
        <v>253.91420485199998</v>
      </c>
      <c r="AA39" s="168">
        <v>240.28784537999999</v>
      </c>
      <c r="AB39" s="168">
        <v>236.22273914799999</v>
      </c>
      <c r="AC39" s="168">
        <v>230.67260471200001</v>
      </c>
      <c r="AD39" s="168">
        <v>225.71571026399999</v>
      </c>
      <c r="AE39" s="168">
        <v>213.03624601600001</v>
      </c>
      <c r="AF39" s="168">
        <v>202.70871922399999</v>
      </c>
      <c r="AG39" s="168">
        <v>194.21726350399999</v>
      </c>
      <c r="AH39" s="168">
        <v>185.45922916399999</v>
      </c>
      <c r="AI39" s="168">
        <v>175.54705748800001</v>
      </c>
      <c r="AJ39" s="168">
        <v>157.481660248</v>
      </c>
      <c r="AK39" s="168">
        <v>143.63226046399998</v>
      </c>
      <c r="AL39" s="168">
        <v>144.8050571</v>
      </c>
    </row>
    <row r="40" spans="2:38" s="150" customFormat="1" ht="18.75" customHeight="1">
      <c r="B40" s="90" t="s">
        <v>36</v>
      </c>
      <c r="C40" s="160" t="s">
        <v>243</v>
      </c>
      <c r="D40" s="167">
        <v>0</v>
      </c>
      <c r="E40" s="167">
        <v>0</v>
      </c>
      <c r="F40" s="167">
        <v>0</v>
      </c>
      <c r="G40" s="167">
        <v>0</v>
      </c>
      <c r="H40" s="167">
        <v>0</v>
      </c>
      <c r="I40" s="167">
        <v>0</v>
      </c>
      <c r="J40" s="167">
        <v>0</v>
      </c>
      <c r="K40" s="167">
        <v>0</v>
      </c>
      <c r="L40" s="167">
        <v>0</v>
      </c>
      <c r="M40" s="167">
        <v>0</v>
      </c>
      <c r="N40" s="167">
        <v>0</v>
      </c>
      <c r="O40" s="167">
        <v>0</v>
      </c>
      <c r="P40" s="167">
        <v>0</v>
      </c>
      <c r="Q40" s="167">
        <v>0</v>
      </c>
      <c r="R40" s="167">
        <v>0</v>
      </c>
      <c r="S40" s="167">
        <v>0</v>
      </c>
      <c r="T40" s="167">
        <v>0</v>
      </c>
      <c r="U40" s="167">
        <v>0</v>
      </c>
      <c r="V40" s="167">
        <v>0</v>
      </c>
      <c r="W40" s="167">
        <v>0</v>
      </c>
      <c r="X40" s="167">
        <v>0</v>
      </c>
      <c r="Y40" s="167">
        <v>0</v>
      </c>
      <c r="Z40" s="167">
        <v>0</v>
      </c>
      <c r="AA40" s="167">
        <v>0</v>
      </c>
      <c r="AB40" s="167">
        <v>0</v>
      </c>
      <c r="AC40" s="167">
        <v>0</v>
      </c>
      <c r="AD40" s="167">
        <v>0</v>
      </c>
      <c r="AE40" s="167">
        <v>0</v>
      </c>
      <c r="AF40" s="167">
        <v>0</v>
      </c>
      <c r="AG40" s="167">
        <v>0</v>
      </c>
      <c r="AH40" s="167">
        <v>0</v>
      </c>
      <c r="AI40" s="167">
        <v>0</v>
      </c>
      <c r="AJ40" s="167">
        <v>0</v>
      </c>
      <c r="AK40" s="167">
        <v>0</v>
      </c>
      <c r="AL40" s="167">
        <v>0</v>
      </c>
    </row>
    <row r="41" spans="2:38" s="150" customFormat="1" ht="18.75" customHeight="1">
      <c r="B41" s="19"/>
      <c r="C41" s="159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</row>
    <row r="42" spans="2:38" s="10" customFormat="1" ht="18.75" customHeight="1">
      <c r="B42" s="153" t="s">
        <v>16</v>
      </c>
      <c r="C42" s="22" t="s">
        <v>3</v>
      </c>
      <c r="D42" s="165">
        <f>SUMIF(D43:D46,"&lt;1E+307")</f>
        <v>0</v>
      </c>
      <c r="E42" s="165">
        <f t="shared" ref="E42:AE42" si="28">SUMIF(E43:E46,"&lt;1E+307")</f>
        <v>0</v>
      </c>
      <c r="F42" s="165">
        <f t="shared" si="28"/>
        <v>0</v>
      </c>
      <c r="G42" s="165">
        <f t="shared" si="28"/>
        <v>0</v>
      </c>
      <c r="H42" s="165">
        <f t="shared" si="28"/>
        <v>0</v>
      </c>
      <c r="I42" s="165">
        <f t="shared" si="28"/>
        <v>0</v>
      </c>
      <c r="J42" s="165">
        <f t="shared" si="28"/>
        <v>0</v>
      </c>
      <c r="K42" s="165">
        <f t="shared" si="28"/>
        <v>0</v>
      </c>
      <c r="L42" s="165">
        <f t="shared" si="28"/>
        <v>0</v>
      </c>
      <c r="M42" s="165">
        <f t="shared" si="28"/>
        <v>0</v>
      </c>
      <c r="N42" s="165">
        <f t="shared" si="28"/>
        <v>0</v>
      </c>
      <c r="O42" s="165">
        <f t="shared" si="28"/>
        <v>0</v>
      </c>
      <c r="P42" s="165">
        <f t="shared" si="28"/>
        <v>0</v>
      </c>
      <c r="Q42" s="165">
        <f t="shared" si="28"/>
        <v>0</v>
      </c>
      <c r="R42" s="165">
        <f t="shared" si="28"/>
        <v>0</v>
      </c>
      <c r="S42" s="165">
        <f t="shared" si="28"/>
        <v>0</v>
      </c>
      <c r="T42" s="165">
        <f t="shared" si="28"/>
        <v>0</v>
      </c>
      <c r="U42" s="165">
        <f t="shared" si="28"/>
        <v>0</v>
      </c>
      <c r="V42" s="165">
        <f t="shared" si="28"/>
        <v>0</v>
      </c>
      <c r="W42" s="165">
        <f t="shared" si="28"/>
        <v>0</v>
      </c>
      <c r="X42" s="165">
        <f t="shared" si="28"/>
        <v>0</v>
      </c>
      <c r="Y42" s="165">
        <f t="shared" si="28"/>
        <v>0</v>
      </c>
      <c r="Z42" s="165">
        <f t="shared" si="28"/>
        <v>0</v>
      </c>
      <c r="AA42" s="165">
        <f t="shared" si="28"/>
        <v>0</v>
      </c>
      <c r="AB42" s="165">
        <f t="shared" si="28"/>
        <v>0</v>
      </c>
      <c r="AC42" s="165">
        <f t="shared" si="28"/>
        <v>0</v>
      </c>
      <c r="AD42" s="165">
        <f t="shared" si="28"/>
        <v>0</v>
      </c>
      <c r="AE42" s="165">
        <f t="shared" si="28"/>
        <v>0</v>
      </c>
      <c r="AF42" s="165">
        <f t="shared" ref="AF42:AG42" si="29">SUMIF(AF43:AF46,"&lt;1E+307")</f>
        <v>0</v>
      </c>
      <c r="AG42" s="165">
        <f t="shared" si="29"/>
        <v>0</v>
      </c>
      <c r="AH42" s="165">
        <f t="shared" ref="AH42" si="30">SUMIF(AH43:AH46,"&lt;1E+307")</f>
        <v>0</v>
      </c>
      <c r="AI42" s="165">
        <f t="shared" ref="AI42" si="31">SUMIF(AI43:AI46,"&lt;1E+307")</f>
        <v>0</v>
      </c>
      <c r="AJ42" s="165">
        <f t="shared" ref="AJ42:AK42" si="32">SUMIF(AJ43:AJ46,"&lt;1E+307")</f>
        <v>0</v>
      </c>
      <c r="AK42" s="165">
        <f t="shared" si="32"/>
        <v>0</v>
      </c>
      <c r="AL42" s="165">
        <f t="shared" ref="AL42" si="33">SUMIF(AL43:AL46,"&lt;1E+307")</f>
        <v>0</v>
      </c>
    </row>
    <row r="43" spans="2:38" s="150" customFormat="1" ht="18.75" customHeight="1">
      <c r="B43" s="19" t="s">
        <v>19</v>
      </c>
      <c r="C43" s="159" t="s">
        <v>244</v>
      </c>
      <c r="D43" s="168">
        <v>0</v>
      </c>
      <c r="E43" s="168">
        <v>0</v>
      </c>
      <c r="F43" s="168">
        <v>0</v>
      </c>
      <c r="G43" s="168">
        <v>0</v>
      </c>
      <c r="H43" s="168">
        <v>0</v>
      </c>
      <c r="I43" s="168">
        <v>0</v>
      </c>
      <c r="J43" s="168">
        <v>0</v>
      </c>
      <c r="K43" s="168">
        <v>0</v>
      </c>
      <c r="L43" s="168">
        <v>0</v>
      </c>
      <c r="M43" s="168">
        <v>0</v>
      </c>
      <c r="N43" s="168">
        <v>0</v>
      </c>
      <c r="O43" s="168">
        <v>0</v>
      </c>
      <c r="P43" s="168">
        <v>0</v>
      </c>
      <c r="Q43" s="168">
        <v>0</v>
      </c>
      <c r="R43" s="168">
        <v>0</v>
      </c>
      <c r="S43" s="168">
        <v>0</v>
      </c>
      <c r="T43" s="168">
        <v>0</v>
      </c>
      <c r="U43" s="168">
        <v>0</v>
      </c>
      <c r="V43" s="168">
        <v>0</v>
      </c>
      <c r="W43" s="168">
        <v>0</v>
      </c>
      <c r="X43" s="168">
        <v>0</v>
      </c>
      <c r="Y43" s="168">
        <v>0</v>
      </c>
      <c r="Z43" s="168">
        <v>0</v>
      </c>
      <c r="AA43" s="168">
        <v>0</v>
      </c>
      <c r="AB43" s="168">
        <v>0</v>
      </c>
      <c r="AC43" s="168">
        <v>0</v>
      </c>
      <c r="AD43" s="168">
        <v>0</v>
      </c>
      <c r="AE43" s="168">
        <v>0</v>
      </c>
      <c r="AF43" s="168">
        <v>0</v>
      </c>
      <c r="AG43" s="168">
        <v>0</v>
      </c>
      <c r="AH43" s="168">
        <v>0</v>
      </c>
      <c r="AI43" s="168">
        <v>0</v>
      </c>
      <c r="AJ43" s="168">
        <v>0</v>
      </c>
      <c r="AK43" s="168">
        <v>0</v>
      </c>
      <c r="AL43" s="168">
        <v>0</v>
      </c>
    </row>
    <row r="44" spans="2:38" s="150" customFormat="1" ht="18.75" customHeight="1">
      <c r="B44" s="90" t="s">
        <v>74</v>
      </c>
      <c r="C44" s="160" t="s">
        <v>245</v>
      </c>
      <c r="D44" s="167">
        <v>0</v>
      </c>
      <c r="E44" s="167">
        <v>0</v>
      </c>
      <c r="F44" s="167">
        <v>0</v>
      </c>
      <c r="G44" s="167">
        <v>0</v>
      </c>
      <c r="H44" s="167">
        <v>0</v>
      </c>
      <c r="I44" s="167">
        <v>0</v>
      </c>
      <c r="J44" s="167">
        <v>0</v>
      </c>
      <c r="K44" s="167">
        <v>0</v>
      </c>
      <c r="L44" s="167">
        <v>0</v>
      </c>
      <c r="M44" s="167">
        <v>0</v>
      </c>
      <c r="N44" s="167">
        <v>0</v>
      </c>
      <c r="O44" s="167">
        <v>0</v>
      </c>
      <c r="P44" s="167">
        <v>0</v>
      </c>
      <c r="Q44" s="167">
        <v>0</v>
      </c>
      <c r="R44" s="167">
        <v>0</v>
      </c>
      <c r="S44" s="167">
        <v>0</v>
      </c>
      <c r="T44" s="167">
        <v>0</v>
      </c>
      <c r="U44" s="167">
        <v>0</v>
      </c>
      <c r="V44" s="167">
        <v>0</v>
      </c>
      <c r="W44" s="167">
        <v>0</v>
      </c>
      <c r="X44" s="167">
        <v>0</v>
      </c>
      <c r="Y44" s="167">
        <v>0</v>
      </c>
      <c r="Z44" s="167">
        <v>0</v>
      </c>
      <c r="AA44" s="167">
        <v>0</v>
      </c>
      <c r="AB44" s="167">
        <v>0</v>
      </c>
      <c r="AC44" s="167">
        <v>0</v>
      </c>
      <c r="AD44" s="167">
        <v>0</v>
      </c>
      <c r="AE44" s="167">
        <v>0</v>
      </c>
      <c r="AF44" s="167">
        <v>0</v>
      </c>
      <c r="AG44" s="167">
        <v>0</v>
      </c>
      <c r="AH44" s="167">
        <v>0</v>
      </c>
      <c r="AI44" s="167">
        <v>0</v>
      </c>
      <c r="AJ44" s="167">
        <v>0</v>
      </c>
      <c r="AK44" s="167">
        <v>0</v>
      </c>
      <c r="AL44" s="167">
        <v>0</v>
      </c>
    </row>
    <row r="45" spans="2:38" s="150" customFormat="1" ht="18.75" customHeight="1">
      <c r="B45" s="19" t="s">
        <v>20</v>
      </c>
      <c r="C45" s="159" t="s">
        <v>246</v>
      </c>
      <c r="D45" s="168">
        <v>0</v>
      </c>
      <c r="E45" s="168">
        <v>0</v>
      </c>
      <c r="F45" s="168">
        <v>0</v>
      </c>
      <c r="G45" s="168">
        <v>0</v>
      </c>
      <c r="H45" s="168">
        <v>0</v>
      </c>
      <c r="I45" s="168">
        <v>0</v>
      </c>
      <c r="J45" s="168">
        <v>0</v>
      </c>
      <c r="K45" s="168">
        <v>0</v>
      </c>
      <c r="L45" s="168">
        <v>0</v>
      </c>
      <c r="M45" s="168">
        <v>0</v>
      </c>
      <c r="N45" s="168">
        <v>0</v>
      </c>
      <c r="O45" s="168">
        <v>0</v>
      </c>
      <c r="P45" s="168">
        <v>0</v>
      </c>
      <c r="Q45" s="168">
        <v>0</v>
      </c>
      <c r="R45" s="168">
        <v>0</v>
      </c>
      <c r="S45" s="168">
        <v>0</v>
      </c>
      <c r="T45" s="168">
        <v>0</v>
      </c>
      <c r="U45" s="168">
        <v>0</v>
      </c>
      <c r="V45" s="168">
        <v>0</v>
      </c>
      <c r="W45" s="168">
        <v>0</v>
      </c>
      <c r="X45" s="168">
        <v>0</v>
      </c>
      <c r="Y45" s="168">
        <v>0</v>
      </c>
      <c r="Z45" s="168">
        <v>0</v>
      </c>
      <c r="AA45" s="168">
        <v>0</v>
      </c>
      <c r="AB45" s="168">
        <v>0</v>
      </c>
      <c r="AC45" s="168">
        <v>0</v>
      </c>
      <c r="AD45" s="168">
        <v>0</v>
      </c>
      <c r="AE45" s="168">
        <v>0</v>
      </c>
      <c r="AF45" s="168">
        <v>0</v>
      </c>
      <c r="AG45" s="168">
        <v>0</v>
      </c>
      <c r="AH45" s="168">
        <v>0</v>
      </c>
      <c r="AI45" s="168">
        <v>0</v>
      </c>
      <c r="AJ45" s="168">
        <v>0</v>
      </c>
      <c r="AK45" s="168">
        <v>0</v>
      </c>
      <c r="AL45" s="168">
        <v>0</v>
      </c>
    </row>
    <row r="46" spans="2:38" s="150" customFormat="1" ht="18.75" customHeight="1">
      <c r="B46" s="90" t="s">
        <v>29</v>
      </c>
      <c r="C46" s="160" t="s">
        <v>247</v>
      </c>
      <c r="D46" s="167">
        <v>0</v>
      </c>
      <c r="E46" s="167">
        <v>0</v>
      </c>
      <c r="F46" s="167">
        <v>0</v>
      </c>
      <c r="G46" s="167">
        <v>0</v>
      </c>
      <c r="H46" s="167">
        <v>0</v>
      </c>
      <c r="I46" s="167">
        <v>0</v>
      </c>
      <c r="J46" s="167">
        <v>0</v>
      </c>
      <c r="K46" s="167">
        <v>0</v>
      </c>
      <c r="L46" s="167">
        <v>0</v>
      </c>
      <c r="M46" s="167">
        <v>0</v>
      </c>
      <c r="N46" s="167">
        <v>0</v>
      </c>
      <c r="O46" s="167">
        <v>0</v>
      </c>
      <c r="P46" s="167">
        <v>0</v>
      </c>
      <c r="Q46" s="167">
        <v>0</v>
      </c>
      <c r="R46" s="167">
        <v>0</v>
      </c>
      <c r="S46" s="167">
        <v>0</v>
      </c>
      <c r="T46" s="167">
        <v>0</v>
      </c>
      <c r="U46" s="167">
        <v>0</v>
      </c>
      <c r="V46" s="167">
        <v>0</v>
      </c>
      <c r="W46" s="167">
        <v>0</v>
      </c>
      <c r="X46" s="167">
        <v>0</v>
      </c>
      <c r="Y46" s="167">
        <v>0</v>
      </c>
      <c r="Z46" s="167">
        <v>0</v>
      </c>
      <c r="AA46" s="167">
        <v>0</v>
      </c>
      <c r="AB46" s="167">
        <v>0</v>
      </c>
      <c r="AC46" s="167">
        <v>0</v>
      </c>
      <c r="AD46" s="167">
        <v>0</v>
      </c>
      <c r="AE46" s="167">
        <v>0</v>
      </c>
      <c r="AF46" s="167">
        <v>0</v>
      </c>
      <c r="AG46" s="167">
        <v>0</v>
      </c>
      <c r="AH46" s="167">
        <v>0</v>
      </c>
      <c r="AI46" s="167">
        <v>0</v>
      </c>
      <c r="AJ46" s="167">
        <v>0</v>
      </c>
      <c r="AK46" s="167">
        <v>0</v>
      </c>
      <c r="AL46" s="167">
        <v>0</v>
      </c>
    </row>
    <row r="47" spans="2:38" s="150" customFormat="1" ht="18.75" customHeight="1">
      <c r="B47" s="19"/>
      <c r="C47" s="159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</row>
    <row r="48" spans="2:38" s="10" customFormat="1" ht="18.75" customHeight="1">
      <c r="B48" s="153" t="s">
        <v>128</v>
      </c>
      <c r="C48" s="22" t="s">
        <v>3</v>
      </c>
      <c r="D48" s="165">
        <f>SUMIF(D49:D54,"&lt;1E+307")</f>
        <v>27858.993240339776</v>
      </c>
      <c r="E48" s="165">
        <f t="shared" ref="E48:AJ48" si="34">SUMIF(E49:E54,"&lt;1E+307")</f>
        <v>-20453.613381020368</v>
      </c>
      <c r="F48" s="165">
        <f t="shared" si="34"/>
        <v>-25055.786929320839</v>
      </c>
      <c r="G48" s="165">
        <f t="shared" si="34"/>
        <v>-34104.784882276181</v>
      </c>
      <c r="H48" s="165">
        <f t="shared" si="34"/>
        <v>-25545.201335774789</v>
      </c>
      <c r="I48" s="165">
        <f t="shared" si="34"/>
        <v>-14397.855808502643</v>
      </c>
      <c r="J48" s="165">
        <f t="shared" si="34"/>
        <v>-14607.190278828009</v>
      </c>
      <c r="K48" s="165">
        <f t="shared" si="34"/>
        <v>-15930.2919758262</v>
      </c>
      <c r="L48" s="165">
        <f t="shared" si="34"/>
        <v>-24260.459437548423</v>
      </c>
      <c r="M48" s="165">
        <f t="shared" si="34"/>
        <v>-18018.085127794817</v>
      </c>
      <c r="N48" s="165">
        <f t="shared" si="34"/>
        <v>-3155.9907847482409</v>
      </c>
      <c r="O48" s="165">
        <f t="shared" si="34"/>
        <v>-11928.28968077731</v>
      </c>
      <c r="P48" s="165">
        <f t="shared" si="34"/>
        <v>18120.192657325515</v>
      </c>
      <c r="Q48" s="165">
        <f t="shared" si="34"/>
        <v>29989.966148076819</v>
      </c>
      <c r="R48" s="165">
        <f t="shared" si="34"/>
        <v>16894.471927954262</v>
      </c>
      <c r="S48" s="165">
        <f t="shared" si="34"/>
        <v>13302.903014673813</v>
      </c>
      <c r="T48" s="165">
        <f t="shared" si="34"/>
        <v>4327.7602591133309</v>
      </c>
      <c r="U48" s="165">
        <f t="shared" si="34"/>
        <v>-5308.5036306369293</v>
      </c>
      <c r="V48" s="165">
        <f t="shared" si="34"/>
        <v>-10739.689029788155</v>
      </c>
      <c r="W48" s="165">
        <f t="shared" si="34"/>
        <v>-7416.3882951611986</v>
      </c>
      <c r="X48" s="165">
        <f t="shared" si="34"/>
        <v>-3017.1713239959981</v>
      </c>
      <c r="Y48" s="165">
        <f t="shared" si="34"/>
        <v>-9360.3580466509557</v>
      </c>
      <c r="Z48" s="165">
        <f t="shared" si="34"/>
        <v>-5857.7379057951348</v>
      </c>
      <c r="AA48" s="165">
        <f t="shared" si="34"/>
        <v>-8469.5091932216346</v>
      </c>
      <c r="AB48" s="165">
        <f t="shared" si="34"/>
        <v>2340.7147000739051</v>
      </c>
      <c r="AC48" s="165">
        <f t="shared" si="34"/>
        <v>-2459.3815048107708</v>
      </c>
      <c r="AD48" s="165">
        <f t="shared" si="34"/>
        <v>1103.4306144406019</v>
      </c>
      <c r="AE48" s="165">
        <f t="shared" si="34"/>
        <v>-5120.7195756726142</v>
      </c>
      <c r="AF48" s="165">
        <f t="shared" si="34"/>
        <v>75874.506316785657</v>
      </c>
      <c r="AG48" s="165">
        <f t="shared" si="34"/>
        <v>64379.315344991126</v>
      </c>
      <c r="AH48" s="165">
        <f t="shared" si="34"/>
        <v>69093.99421019516</v>
      </c>
      <c r="AI48" s="165">
        <f t="shared" si="34"/>
        <v>54880.788946179731</v>
      </c>
      <c r="AJ48" s="165">
        <f t="shared" si="34"/>
        <v>68160.88322574491</v>
      </c>
      <c r="AK48" s="165">
        <f t="shared" ref="AK48:AL48" si="35">SUMIF(AK49:AK54,"&lt;1E+307")</f>
        <v>59894.56796127565</v>
      </c>
      <c r="AL48" s="165">
        <f t="shared" si="35"/>
        <v>42885.145937287991</v>
      </c>
    </row>
    <row r="49" spans="2:38" s="150" customFormat="1" ht="18.75" customHeight="1">
      <c r="B49" s="19" t="s">
        <v>129</v>
      </c>
      <c r="C49" s="159" t="s">
        <v>248</v>
      </c>
      <c r="D49" s="168">
        <v>-25836.722958478833</v>
      </c>
      <c r="E49" s="168">
        <v>-80321.180848524091</v>
      </c>
      <c r="F49" s="168">
        <v>-84679.570230973724</v>
      </c>
      <c r="G49" s="168">
        <v>-84817.374717372048</v>
      </c>
      <c r="H49" s="168">
        <v>-76909.540121348284</v>
      </c>
      <c r="I49" s="168">
        <v>-68584.437203615467</v>
      </c>
      <c r="J49" s="168">
        <v>-72396.333724933444</v>
      </c>
      <c r="K49" s="168">
        <v>-71644.230192245828</v>
      </c>
      <c r="L49" s="168">
        <v>-68350.680341510961</v>
      </c>
      <c r="M49" s="168">
        <v>-70410.701621958739</v>
      </c>
      <c r="N49" s="168">
        <v>-52287.254007377131</v>
      </c>
      <c r="O49" s="168">
        <v>-68300.812016939453</v>
      </c>
      <c r="P49" s="168">
        <v>-34354.655143003423</v>
      </c>
      <c r="Q49" s="168">
        <v>-34848.953955514029</v>
      </c>
      <c r="R49" s="168">
        <v>-34109.138651674031</v>
      </c>
      <c r="S49" s="168">
        <v>-33495.410635435212</v>
      </c>
      <c r="T49" s="168">
        <v>-32494.870414247871</v>
      </c>
      <c r="U49" s="168">
        <v>-29488.649843479394</v>
      </c>
      <c r="V49" s="168">
        <v>-50917.292599131659</v>
      </c>
      <c r="W49" s="168">
        <v>-48550.826046165406</v>
      </c>
      <c r="X49" s="168">
        <v>-40590.996230594377</v>
      </c>
      <c r="Y49" s="168">
        <v>-47211.365695281638</v>
      </c>
      <c r="Z49" s="168">
        <v>-47176.128398083645</v>
      </c>
      <c r="AA49" s="168">
        <v>-53858.975946019687</v>
      </c>
      <c r="AB49" s="168">
        <v>-45209.136333021597</v>
      </c>
      <c r="AC49" s="168">
        <v>-47836.640245156465</v>
      </c>
      <c r="AD49" s="168">
        <v>-48188.737700257479</v>
      </c>
      <c r="AE49" s="168">
        <v>-44645.102486078482</v>
      </c>
      <c r="AF49" s="168">
        <v>22605.807265667132</v>
      </c>
      <c r="AG49" s="168">
        <v>17880.110710872988</v>
      </c>
      <c r="AH49" s="168">
        <v>23796.031311581875</v>
      </c>
      <c r="AI49" s="168">
        <v>15572.542197870103</v>
      </c>
      <c r="AJ49" s="168">
        <v>18319.812090784751</v>
      </c>
      <c r="AK49" s="168">
        <v>20478.912479612944</v>
      </c>
      <c r="AL49" s="168">
        <v>126.24075986299975</v>
      </c>
    </row>
    <row r="50" spans="2:38" s="150" customFormat="1" ht="18.75" customHeight="1">
      <c r="B50" s="90" t="s">
        <v>130</v>
      </c>
      <c r="C50" s="160" t="s">
        <v>249</v>
      </c>
      <c r="D50" s="167">
        <v>20381.762190500893</v>
      </c>
      <c r="E50" s="167">
        <v>21077.299746765035</v>
      </c>
      <c r="F50" s="167">
        <v>20769.747046294069</v>
      </c>
      <c r="G50" s="167">
        <v>19202.582925584367</v>
      </c>
      <c r="H50" s="167">
        <v>19616.01491318809</v>
      </c>
      <c r="I50" s="167">
        <v>20320.765771310689</v>
      </c>
      <c r="J50" s="167">
        <v>21061.717354724289</v>
      </c>
      <c r="K50" s="167">
        <v>20934.521648885511</v>
      </c>
      <c r="L50" s="167">
        <v>18433.69764276046</v>
      </c>
      <c r="M50" s="167">
        <v>20199.434578580545</v>
      </c>
      <c r="N50" s="167">
        <v>19965.457558348131</v>
      </c>
      <c r="O50" s="167">
        <v>20018.885905151921</v>
      </c>
      <c r="P50" s="167">
        <v>19830.100256143764</v>
      </c>
      <c r="Q50" s="167">
        <v>22587.004963751308</v>
      </c>
      <c r="R50" s="167">
        <v>20945.387454162497</v>
      </c>
      <c r="S50" s="167">
        <v>22007.124406793868</v>
      </c>
      <c r="T50" s="167">
        <v>20605.63982673889</v>
      </c>
      <c r="U50" s="167">
        <v>18439.572457641796</v>
      </c>
      <c r="V50" s="167">
        <v>19953.438584465217</v>
      </c>
      <c r="W50" s="167">
        <v>20341.277074245314</v>
      </c>
      <c r="X50" s="167">
        <v>19708.914640545714</v>
      </c>
      <c r="Y50" s="167">
        <v>20516.303179015078</v>
      </c>
      <c r="Z50" s="167">
        <v>20802.717750395579</v>
      </c>
      <c r="AA50" s="167">
        <v>21134.446397596472</v>
      </c>
      <c r="AB50" s="167">
        <v>21505.994710080511</v>
      </c>
      <c r="AC50" s="167">
        <v>20736.34629922454</v>
      </c>
      <c r="AD50" s="167">
        <v>21923.72624994169</v>
      </c>
      <c r="AE50" s="167">
        <v>20143.149613744499</v>
      </c>
      <c r="AF50" s="167">
        <v>22711.364442297076</v>
      </c>
      <c r="AG50" s="167">
        <v>21927.556379943075</v>
      </c>
      <c r="AH50" s="167">
        <v>21938.823855413855</v>
      </c>
      <c r="AI50" s="167">
        <v>20791.452473737747</v>
      </c>
      <c r="AJ50" s="167">
        <v>21581.015584724089</v>
      </c>
      <c r="AK50" s="167">
        <v>19195.914416142718</v>
      </c>
      <c r="AL50" s="167">
        <v>19329.778646802995</v>
      </c>
    </row>
    <row r="51" spans="2:38" s="150" customFormat="1" ht="18.75" customHeight="1">
      <c r="B51" s="19" t="s">
        <v>133</v>
      </c>
      <c r="C51" s="159" t="s">
        <v>250</v>
      </c>
      <c r="D51" s="168">
        <v>30634.014354151492</v>
      </c>
      <c r="E51" s="168">
        <v>32849.498006363756</v>
      </c>
      <c r="F51" s="168">
        <v>33628.145553233517</v>
      </c>
      <c r="G51" s="168">
        <v>27067.581851460433</v>
      </c>
      <c r="H51" s="168">
        <v>30082.154678127965</v>
      </c>
      <c r="I51" s="168">
        <v>32146.448940024453</v>
      </c>
      <c r="J51" s="168">
        <v>34351.182957986719</v>
      </c>
      <c r="K51" s="168">
        <v>33760.562019229459</v>
      </c>
      <c r="L51" s="168">
        <v>26334.884931128032</v>
      </c>
      <c r="M51" s="168">
        <v>32849.966665394102</v>
      </c>
      <c r="N51" s="168">
        <v>31741.022869922523</v>
      </c>
      <c r="O51" s="168">
        <v>33983.500685229563</v>
      </c>
      <c r="P51" s="168">
        <v>32517.293133405965</v>
      </c>
      <c r="Q51" s="168">
        <v>41864.737223926008</v>
      </c>
      <c r="R51" s="168">
        <v>34775.089316034726</v>
      </c>
      <c r="S51" s="168">
        <v>33572.750722703408</v>
      </c>
      <c r="T51" s="168">
        <v>29205.743468457884</v>
      </c>
      <c r="U51" s="168">
        <v>21103.361435748975</v>
      </c>
      <c r="V51" s="168">
        <v>25295.946388424072</v>
      </c>
      <c r="W51" s="168">
        <v>25761.313842363255</v>
      </c>
      <c r="X51" s="168">
        <v>21692.535637668658</v>
      </c>
      <c r="Y51" s="168">
        <v>20142.604374927232</v>
      </c>
      <c r="Z51" s="168">
        <v>21506.085330231108</v>
      </c>
      <c r="AA51" s="168">
        <v>23769.00247080484</v>
      </c>
      <c r="AB51" s="168">
        <v>25493.026863468152</v>
      </c>
      <c r="AC51" s="168">
        <v>24279.116330999637</v>
      </c>
      <c r="AD51" s="168">
        <v>26890.365359843512</v>
      </c>
      <c r="AE51" s="168">
        <v>20650.342203018277</v>
      </c>
      <c r="AF51" s="168">
        <v>31069.896771757194</v>
      </c>
      <c r="AG51" s="168">
        <v>27223.178868150884</v>
      </c>
      <c r="AH51" s="168">
        <v>27216.026138824313</v>
      </c>
      <c r="AI51" s="168">
        <v>22983.426175346121</v>
      </c>
      <c r="AJ51" s="168">
        <v>28004.106084700405</v>
      </c>
      <c r="AK51" s="168">
        <v>21998.539495305635</v>
      </c>
      <c r="AL51" s="168">
        <v>22791.132323181992</v>
      </c>
    </row>
    <row r="52" spans="2:38" s="150" customFormat="1" ht="18.75" customHeight="1">
      <c r="B52" s="90" t="s">
        <v>134</v>
      </c>
      <c r="C52" s="160" t="s">
        <v>251</v>
      </c>
      <c r="D52" s="167">
        <v>3696.3659535217657</v>
      </c>
      <c r="E52" s="167">
        <v>4150.4751185021787</v>
      </c>
      <c r="F52" s="167">
        <v>4274.1771459104939</v>
      </c>
      <c r="G52" s="167">
        <v>3371.9860640728753</v>
      </c>
      <c r="H52" s="167">
        <v>3764.0959126301282</v>
      </c>
      <c r="I52" s="167">
        <v>4075.453753083797</v>
      </c>
      <c r="J52" s="167">
        <v>4611.0511817362913</v>
      </c>
      <c r="K52" s="167">
        <v>4291.9000738667437</v>
      </c>
      <c r="L52" s="167">
        <v>3328.3219397569828</v>
      </c>
      <c r="M52" s="167">
        <v>4381.4109161461183</v>
      </c>
      <c r="N52" s="167">
        <v>4199.879558240038</v>
      </c>
      <c r="O52" s="167">
        <v>3614.3358597321085</v>
      </c>
      <c r="P52" s="167">
        <v>3082.3939130672265</v>
      </c>
      <c r="Q52" s="167">
        <v>4835.2245234523016</v>
      </c>
      <c r="R52" s="167">
        <v>3674.1331973400206</v>
      </c>
      <c r="S52" s="167">
        <v>3923.9648564706276</v>
      </c>
      <c r="T52" s="167">
        <v>4468.8934408068762</v>
      </c>
      <c r="U52" s="167">
        <v>3560.5265174044789</v>
      </c>
      <c r="V52" s="167">
        <v>4112.790952298079</v>
      </c>
      <c r="W52" s="167">
        <v>4307.3484843258548</v>
      </c>
      <c r="X52" s="167">
        <v>3776.2474623947078</v>
      </c>
      <c r="Y52" s="167">
        <v>4073.2572880276834</v>
      </c>
      <c r="Z52" s="167">
        <v>4044.0229696978481</v>
      </c>
      <c r="AA52" s="167">
        <v>4036.5499463521342</v>
      </c>
      <c r="AB52" s="167">
        <v>4187.6707914909557</v>
      </c>
      <c r="AC52" s="167">
        <v>3785.1932213775326</v>
      </c>
      <c r="AD52" s="167">
        <v>4270.7283215942734</v>
      </c>
      <c r="AE52" s="167">
        <v>3323.3029824545069</v>
      </c>
      <c r="AF52" s="167">
        <v>5336.9512281548286</v>
      </c>
      <c r="AG52" s="167">
        <v>4507.5109491007534</v>
      </c>
      <c r="AH52" s="167">
        <v>4725.0317555023084</v>
      </c>
      <c r="AI52" s="167">
        <v>4119.1419165028437</v>
      </c>
      <c r="AJ52" s="167">
        <v>5014.8063327953287</v>
      </c>
      <c r="AK52" s="167">
        <v>3298.3816188841342</v>
      </c>
      <c r="AL52" s="167">
        <v>3293.7836414050007</v>
      </c>
    </row>
    <row r="53" spans="2:38" s="150" customFormat="1" ht="18.75" customHeight="1">
      <c r="B53" s="19" t="s">
        <v>135</v>
      </c>
      <c r="C53" s="159" t="s">
        <v>252</v>
      </c>
      <c r="D53" s="168">
        <v>324.18510805445862</v>
      </c>
      <c r="E53" s="168">
        <v>432.47493377275458</v>
      </c>
      <c r="F53" s="168">
        <v>385.35948832980716</v>
      </c>
      <c r="G53" s="168">
        <v>238.77755308819459</v>
      </c>
      <c r="H53" s="168">
        <v>278.61754332731385</v>
      </c>
      <c r="I53" s="168">
        <v>325.00187269088303</v>
      </c>
      <c r="J53" s="168">
        <v>432.30850487813905</v>
      </c>
      <c r="K53" s="168">
        <v>425.2941895379189</v>
      </c>
      <c r="L53" s="168">
        <v>90.327295607065793</v>
      </c>
      <c r="M53" s="168">
        <v>321.16786476315491</v>
      </c>
      <c r="N53" s="168">
        <v>295.68130261819891</v>
      </c>
      <c r="O53" s="168">
        <v>4116.7989921485469</v>
      </c>
      <c r="P53" s="168">
        <v>4222.3278178509827</v>
      </c>
      <c r="Q53" s="168">
        <v>4213.1800244712385</v>
      </c>
      <c r="R53" s="168">
        <v>3731.65424936105</v>
      </c>
      <c r="S53" s="168">
        <v>2227.212750241119</v>
      </c>
      <c r="T53" s="168">
        <v>-1246.6836696424466</v>
      </c>
      <c r="U53" s="168">
        <v>-2959.4555806527874</v>
      </c>
      <c r="V53" s="168">
        <v>-3545.840711843864</v>
      </c>
      <c r="W53" s="168">
        <v>-3721.6154531302172</v>
      </c>
      <c r="X53" s="168">
        <v>-3588.2974786107002</v>
      </c>
      <c r="Y53" s="168">
        <v>-3060.5523914393125</v>
      </c>
      <c r="Z53" s="168">
        <v>-2285.1827799460248</v>
      </c>
      <c r="AA53" s="168">
        <v>-1925.5223370753934</v>
      </c>
      <c r="AB53" s="168">
        <v>-1469.8547736041176</v>
      </c>
      <c r="AC53" s="168">
        <v>-1648.3550198860166</v>
      </c>
      <c r="AD53" s="168">
        <v>-1962.2674729013945</v>
      </c>
      <c r="AE53" s="168">
        <v>-2100.2937417614162</v>
      </c>
      <c r="AF53" s="168">
        <v>-1227.3230756905677</v>
      </c>
      <c r="AG53" s="168">
        <v>-1521.6416491765622</v>
      </c>
      <c r="AH53" s="168">
        <v>-1118.0982365271939</v>
      </c>
      <c r="AI53" s="168">
        <v>-996.07967227708218</v>
      </c>
      <c r="AJ53" s="168">
        <v>-477.14740915966411</v>
      </c>
      <c r="AK53" s="168">
        <v>-472.68875856978229</v>
      </c>
      <c r="AL53" s="168">
        <v>-429.24626940499917</v>
      </c>
    </row>
    <row r="54" spans="2:38" s="150" customFormat="1" ht="18.75" customHeight="1">
      <c r="B54" s="90" t="s">
        <v>131</v>
      </c>
      <c r="C54" s="160" t="s">
        <v>253</v>
      </c>
      <c r="D54" s="167">
        <v>-1340.6114074100001</v>
      </c>
      <c r="E54" s="167">
        <v>1357.8196620999997</v>
      </c>
      <c r="F54" s="167">
        <v>566.35406788499995</v>
      </c>
      <c r="G54" s="167">
        <v>831.66144088999999</v>
      </c>
      <c r="H54" s="167">
        <v>-2376.5442616999999</v>
      </c>
      <c r="I54" s="167">
        <v>-2681.0889419969994</v>
      </c>
      <c r="J54" s="167">
        <v>-2667.1165532200002</v>
      </c>
      <c r="K54" s="167">
        <v>-3698.3397150999999</v>
      </c>
      <c r="L54" s="167">
        <v>-4097.0109052899998</v>
      </c>
      <c r="M54" s="167">
        <v>-5359.3635307200002</v>
      </c>
      <c r="N54" s="167">
        <v>-7070.7780665000009</v>
      </c>
      <c r="O54" s="167">
        <v>-5360.9991061000001</v>
      </c>
      <c r="P54" s="167">
        <v>-7177.2673201389998</v>
      </c>
      <c r="Q54" s="167">
        <v>-8661.2266320100007</v>
      </c>
      <c r="R54" s="167">
        <v>-12122.653637269997</v>
      </c>
      <c r="S54" s="167">
        <v>-14932.7390861</v>
      </c>
      <c r="T54" s="167">
        <v>-16210.962393</v>
      </c>
      <c r="U54" s="167">
        <v>-15963.858617299999</v>
      </c>
      <c r="V54" s="167">
        <v>-5638.7316439999995</v>
      </c>
      <c r="W54" s="167">
        <v>-5553.8861967999992</v>
      </c>
      <c r="X54" s="167">
        <v>-4015.5753553999998</v>
      </c>
      <c r="Y54" s="167">
        <v>-3820.6048019</v>
      </c>
      <c r="Z54" s="167">
        <v>-2749.25277809</v>
      </c>
      <c r="AA54" s="167">
        <v>-1625.0097248800002</v>
      </c>
      <c r="AB54" s="167">
        <v>-2166.9865583399996</v>
      </c>
      <c r="AC54" s="167">
        <v>-1775.04209137</v>
      </c>
      <c r="AD54" s="167">
        <v>-1830.3841437800002</v>
      </c>
      <c r="AE54" s="167">
        <v>-2492.1181470499996</v>
      </c>
      <c r="AF54" s="167">
        <v>-4622.1903154000011</v>
      </c>
      <c r="AG54" s="167">
        <v>-5637.3999138999998</v>
      </c>
      <c r="AH54" s="167">
        <v>-7463.8206146000002</v>
      </c>
      <c r="AI54" s="167">
        <v>-7589.6941449999995</v>
      </c>
      <c r="AJ54" s="167">
        <v>-4281.7094581000001</v>
      </c>
      <c r="AK54" s="167">
        <v>-4604.4912900999971</v>
      </c>
      <c r="AL54" s="167">
        <v>-2226.5431645600002</v>
      </c>
    </row>
    <row r="55" spans="2:38" ht="19.5" customHeight="1">
      <c r="B55" s="7"/>
      <c r="C55" s="16"/>
    </row>
  </sheetData>
  <pageMargins left="0.70866141732283472" right="0.70866141732283472" top="0.78740157480314965" bottom="0.78740157480314965" header="1.1811023622047245" footer="1.1811023622047245"/>
  <pageSetup paperSize="9" scale="19" orientation="portrait" r:id="rId1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L55"/>
  <sheetViews>
    <sheetView showGridLines="0" zoomScale="70" zoomScaleNormal="70" zoomScalePageLayoutView="150" workbookViewId="0">
      <pane xSplit="3" ySplit="8" topLeftCell="D9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baseColWidth="10" defaultColWidth="11.42578125" defaultRowHeight="15" outlineLevelCol="1"/>
  <cols>
    <col min="1" max="1" width="5.42578125" style="2" customWidth="1"/>
    <col min="2" max="2" width="62.7109375" style="2" customWidth="1"/>
    <col min="3" max="3" width="25.7109375" style="17" hidden="1" customWidth="1"/>
    <col min="4" max="4" width="10.85546875" style="2" customWidth="1"/>
    <col min="5" max="8" width="10.85546875" style="2" hidden="1" customWidth="1" outlineLevel="1"/>
    <col min="9" max="9" width="10.85546875" style="2" customWidth="1" collapsed="1"/>
    <col min="10" max="13" width="10.85546875" style="2" hidden="1" customWidth="1" outlineLevel="1"/>
    <col min="14" max="14" width="10.85546875" style="2" customWidth="1" collapsed="1"/>
    <col min="15" max="18" width="10.85546875" style="2" hidden="1" customWidth="1" outlineLevel="1"/>
    <col min="19" max="19" width="10.85546875" style="2" customWidth="1" collapsed="1"/>
    <col min="20" max="23" width="10.85546875" style="2" hidden="1" customWidth="1" outlineLevel="1"/>
    <col min="24" max="24" width="10.85546875" style="2" customWidth="1" collapsed="1"/>
    <col min="25" max="28" width="10.85546875" style="2" customWidth="1" outlineLevel="1"/>
    <col min="29" max="29" width="10.85546875" style="2" customWidth="1"/>
    <col min="30" max="33" width="10.85546875" style="2" customWidth="1" outlineLevel="1"/>
    <col min="34" max="34" width="10.85546875" style="150" customWidth="1"/>
    <col min="35" max="36" width="10.85546875" style="88" customWidth="1"/>
    <col min="37" max="38" width="10.85546875" style="150" customWidth="1"/>
    <col min="39" max="16384" width="11.42578125" style="2"/>
  </cols>
  <sheetData>
    <row r="1" spans="2:38"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</row>
    <row r="2" spans="2:38" ht="14.25" customHeight="1">
      <c r="B2" s="1"/>
      <c r="C2" s="86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</row>
    <row r="3" spans="2:38" ht="22.5" customHeight="1">
      <c r="B3" s="3" t="s">
        <v>38</v>
      </c>
      <c r="C3" s="12" t="s">
        <v>42</v>
      </c>
      <c r="D3" s="24" t="s">
        <v>255</v>
      </c>
      <c r="E3" s="2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2:38">
      <c r="B4" s="4" t="s">
        <v>79</v>
      </c>
      <c r="C4" s="13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  <c r="AH4" s="155">
        <v>43831</v>
      </c>
      <c r="AI4" s="155">
        <v>44197</v>
      </c>
      <c r="AJ4" s="155">
        <v>44562</v>
      </c>
      <c r="AK4" s="155">
        <v>44927</v>
      </c>
      <c r="AL4" s="155">
        <v>45292</v>
      </c>
    </row>
    <row r="5" spans="2:38" s="10" customFormat="1" ht="18.75" customHeight="1">
      <c r="B5" s="5" t="s">
        <v>21</v>
      </c>
      <c r="C5" s="20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166"/>
      <c r="AI5" s="142"/>
      <c r="AJ5" s="27"/>
      <c r="AK5" s="166"/>
      <c r="AL5" s="166"/>
    </row>
    <row r="6" spans="2:38" s="10" customFormat="1" ht="18.75" customHeight="1">
      <c r="B6" s="25" t="s">
        <v>22</v>
      </c>
      <c r="C6" s="22" t="s">
        <v>3</v>
      </c>
      <c r="D6" s="26">
        <f t="shared" ref="D6:AJ6" si="0">SUM(D9,D14,D21,D26,D32,D42)</f>
        <v>133423.63654332564</v>
      </c>
      <c r="E6" s="26">
        <f t="shared" si="0"/>
        <v>127169.16636662566</v>
      </c>
      <c r="F6" s="26">
        <f t="shared" si="0"/>
        <v>123278.66542786403</v>
      </c>
      <c r="G6" s="26">
        <f t="shared" si="0"/>
        <v>124169.21018997046</v>
      </c>
      <c r="H6" s="26">
        <f t="shared" si="0"/>
        <v>119347.92658888467</v>
      </c>
      <c r="I6" s="26">
        <f t="shared" si="0"/>
        <v>116729.80945475296</v>
      </c>
      <c r="J6" s="26">
        <f t="shared" si="0"/>
        <v>113666.91745090811</v>
      </c>
      <c r="K6" s="26">
        <f t="shared" si="0"/>
        <v>108488.59338619435</v>
      </c>
      <c r="L6" s="26">
        <f t="shared" si="0"/>
        <v>102718.17065693595</v>
      </c>
      <c r="M6" s="26">
        <f t="shared" si="0"/>
        <v>101516.13052184205</v>
      </c>
      <c r="N6" s="26">
        <f t="shared" si="0"/>
        <v>96948.079395398527</v>
      </c>
      <c r="O6" s="26">
        <f t="shared" si="0"/>
        <v>92831.431034164751</v>
      </c>
      <c r="P6" s="26">
        <f t="shared" si="0"/>
        <v>88139.701209593128</v>
      </c>
      <c r="Q6" s="26">
        <f t="shared" si="0"/>
        <v>84161.919840379138</v>
      </c>
      <c r="R6" s="26">
        <f t="shared" si="0"/>
        <v>77361.076140174817</v>
      </c>
      <c r="S6" s="26">
        <f t="shared" si="0"/>
        <v>73456.155233078258</v>
      </c>
      <c r="T6" s="26">
        <f t="shared" si="0"/>
        <v>69082.460491295875</v>
      </c>
      <c r="U6" s="26">
        <f t="shared" si="0"/>
        <v>66564.990632252506</v>
      </c>
      <c r="V6" s="26">
        <f t="shared" si="0"/>
        <v>65178.666853051633</v>
      </c>
      <c r="W6" s="26">
        <f t="shared" si="0"/>
        <v>62345.01560635084</v>
      </c>
      <c r="X6" s="26">
        <f t="shared" si="0"/>
        <v>61004.393251293841</v>
      </c>
      <c r="Y6" s="26">
        <f t="shared" si="0"/>
        <v>59407.345164731509</v>
      </c>
      <c r="Z6" s="26">
        <f t="shared" si="0"/>
        <v>59773.858223500247</v>
      </c>
      <c r="AA6" s="26">
        <f t="shared" si="0"/>
        <v>58830.921435888267</v>
      </c>
      <c r="AB6" s="26">
        <f t="shared" si="0"/>
        <v>57288.393331791187</v>
      </c>
      <c r="AC6" s="26">
        <f t="shared" si="0"/>
        <v>56798.260413730954</v>
      </c>
      <c r="AD6" s="26">
        <f t="shared" si="0"/>
        <v>55057.120663728667</v>
      </c>
      <c r="AE6" s="26">
        <f t="shared" si="0"/>
        <v>54188.352682339355</v>
      </c>
      <c r="AF6" s="26">
        <f t="shared" si="0"/>
        <v>51943.336881058727</v>
      </c>
      <c r="AG6" s="26">
        <f t="shared" si="0"/>
        <v>49117.660649051402</v>
      </c>
      <c r="AH6" s="165">
        <f t="shared" si="0"/>
        <v>47895.676735632514</v>
      </c>
      <c r="AI6" s="141">
        <f t="shared" si="0"/>
        <v>46819.350012725925</v>
      </c>
      <c r="AJ6" s="26">
        <f t="shared" si="0"/>
        <v>45705.326824729505</v>
      </c>
      <c r="AK6" s="165">
        <f t="shared" ref="AK6:AL6" si="1">SUM(AK9,AK14,AK21,AK26,AK32,AK42)</f>
        <v>44933.512434471289</v>
      </c>
      <c r="AL6" s="165">
        <f t="shared" si="1"/>
        <v>43919.538586790477</v>
      </c>
    </row>
    <row r="7" spans="2:38" s="10" customFormat="1" ht="18.75" customHeight="1">
      <c r="B7" s="23" t="s">
        <v>23</v>
      </c>
      <c r="C7" s="20" t="s">
        <v>3</v>
      </c>
      <c r="D7" s="27">
        <f t="shared" ref="D7:AJ7" si="2">SUM(D9,D14,D21,D26,D32,D42,D48)</f>
        <v>140782.72054219639</v>
      </c>
      <c r="E7" s="27">
        <f t="shared" si="2"/>
        <v>133961.51878602288</v>
      </c>
      <c r="F7" s="27">
        <f t="shared" si="2"/>
        <v>129977.18613124693</v>
      </c>
      <c r="G7" s="27">
        <f t="shared" si="2"/>
        <v>132184.82344503226</v>
      </c>
      <c r="H7" s="27">
        <f t="shared" si="2"/>
        <v>126735.30090376275</v>
      </c>
      <c r="I7" s="27">
        <f t="shared" si="2"/>
        <v>123739.38036377124</v>
      </c>
      <c r="J7" s="27">
        <f t="shared" si="2"/>
        <v>120254.58800189412</v>
      </c>
      <c r="K7" s="27">
        <f t="shared" si="2"/>
        <v>115183.93779926284</v>
      </c>
      <c r="L7" s="27">
        <f t="shared" si="2"/>
        <v>111437.16387681453</v>
      </c>
      <c r="M7" s="27">
        <f t="shared" si="2"/>
        <v>108478.88704541991</v>
      </c>
      <c r="N7" s="27">
        <f t="shared" si="2"/>
        <v>103992.17057076312</v>
      </c>
      <c r="O7" s="27">
        <f t="shared" si="2"/>
        <v>100982.4096050307</v>
      </c>
      <c r="P7" s="27">
        <f t="shared" si="2"/>
        <v>96424.683515516648</v>
      </c>
      <c r="Q7" s="27">
        <f t="shared" si="2"/>
        <v>90475.724450186608</v>
      </c>
      <c r="R7" s="27">
        <f t="shared" si="2"/>
        <v>84766.259938743431</v>
      </c>
      <c r="S7" s="27">
        <f t="shared" si="2"/>
        <v>80475.200347780337</v>
      </c>
      <c r="T7" s="27">
        <f t="shared" si="2"/>
        <v>75726.325540136502</v>
      </c>
      <c r="U7" s="27">
        <f t="shared" si="2"/>
        <v>74651.836844711695</v>
      </c>
      <c r="V7" s="27">
        <f t="shared" si="2"/>
        <v>72098.371524256931</v>
      </c>
      <c r="W7" s="27">
        <f t="shared" si="2"/>
        <v>69108.456189055549</v>
      </c>
      <c r="X7" s="27">
        <f t="shared" si="2"/>
        <v>68417.761059713652</v>
      </c>
      <c r="Y7" s="27">
        <f t="shared" si="2"/>
        <v>66647.724987745547</v>
      </c>
      <c r="Z7" s="27">
        <f t="shared" si="2"/>
        <v>66769.595887139512</v>
      </c>
      <c r="AA7" s="27">
        <f t="shared" si="2"/>
        <v>65890.615147603501</v>
      </c>
      <c r="AB7" s="27">
        <f t="shared" si="2"/>
        <v>64079.051127425133</v>
      </c>
      <c r="AC7" s="27">
        <f t="shared" si="2"/>
        <v>63986.721284198298</v>
      </c>
      <c r="AD7" s="27">
        <f t="shared" si="2"/>
        <v>61853.24324033771</v>
      </c>
      <c r="AE7" s="27">
        <f t="shared" si="2"/>
        <v>62380.699121874677</v>
      </c>
      <c r="AF7" s="27">
        <f t="shared" si="2"/>
        <v>58228.846681833253</v>
      </c>
      <c r="AG7" s="27">
        <f t="shared" si="2"/>
        <v>55833.378773511511</v>
      </c>
      <c r="AH7" s="166">
        <f t="shared" si="2"/>
        <v>54427.020949620804</v>
      </c>
      <c r="AI7" s="142">
        <f t="shared" si="2"/>
        <v>54056.918063954297</v>
      </c>
      <c r="AJ7" s="27">
        <f t="shared" si="2"/>
        <v>52130.309413785166</v>
      </c>
      <c r="AK7" s="166">
        <f t="shared" ref="AK7:AL7" si="3">SUM(AK9,AK14,AK21,AK26,AK32,AK42,AK48)</f>
        <v>52683.19809690999</v>
      </c>
      <c r="AL7" s="166">
        <f t="shared" si="3"/>
        <v>51354.350949446474</v>
      </c>
    </row>
    <row r="8" spans="2:38" ht="18.75" customHeight="1">
      <c r="B8" s="18"/>
      <c r="C8" s="1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167"/>
      <c r="AI8" s="143"/>
      <c r="AJ8" s="91"/>
      <c r="AK8" s="167"/>
      <c r="AL8" s="167"/>
    </row>
    <row r="9" spans="2:38" s="10" customFormat="1" ht="18.75" customHeight="1">
      <c r="B9" s="5" t="s">
        <v>8</v>
      </c>
      <c r="C9" s="20" t="s">
        <v>3</v>
      </c>
      <c r="D9" s="27">
        <f t="shared" ref="D9:AG9" si="4">SUMIF(D10:D12,"&lt;1E+307")</f>
        <v>39064.287906489204</v>
      </c>
      <c r="E9" s="27">
        <f t="shared" si="4"/>
        <v>38256.672486010997</v>
      </c>
      <c r="F9" s="27">
        <f t="shared" si="4"/>
        <v>35778.968341829364</v>
      </c>
      <c r="G9" s="27">
        <f t="shared" si="4"/>
        <v>37291.264365195326</v>
      </c>
      <c r="H9" s="27">
        <f t="shared" si="4"/>
        <v>33957.688591748469</v>
      </c>
      <c r="I9" s="27">
        <f t="shared" si="4"/>
        <v>32786.524392196872</v>
      </c>
      <c r="J9" s="27">
        <f t="shared" si="4"/>
        <v>31589.866390498224</v>
      </c>
      <c r="K9" s="27">
        <f t="shared" si="4"/>
        <v>30886.63086406012</v>
      </c>
      <c r="L9" s="27">
        <f t="shared" si="4"/>
        <v>28024.735639921568</v>
      </c>
      <c r="M9" s="27">
        <f t="shared" si="4"/>
        <v>29225.80070305544</v>
      </c>
      <c r="N9" s="27">
        <f t="shared" si="4"/>
        <v>27180.643963397841</v>
      </c>
      <c r="O9" s="27">
        <f t="shared" si="4"/>
        <v>24515.158439975192</v>
      </c>
      <c r="P9" s="27">
        <f t="shared" si="4"/>
        <v>23119.446742527314</v>
      </c>
      <c r="Q9" s="27">
        <f t="shared" si="4"/>
        <v>21350.158444381192</v>
      </c>
      <c r="R9" s="27">
        <f t="shared" si="4"/>
        <v>18266.422339442015</v>
      </c>
      <c r="S9" s="27">
        <f t="shared" si="4"/>
        <v>16271.965232307379</v>
      </c>
      <c r="T9" s="27">
        <f t="shared" si="4"/>
        <v>14305.06640114075</v>
      </c>
      <c r="U9" s="27">
        <f t="shared" si="4"/>
        <v>13095.410285489506</v>
      </c>
      <c r="V9" s="27">
        <f t="shared" si="4"/>
        <v>12776.147148992144</v>
      </c>
      <c r="W9" s="27">
        <f t="shared" si="4"/>
        <v>11348.640328662885</v>
      </c>
      <c r="X9" s="27">
        <f t="shared" si="4"/>
        <v>11188.498769277201</v>
      </c>
      <c r="Y9" s="27">
        <f t="shared" si="4"/>
        <v>10840.953840349359</v>
      </c>
      <c r="Z9" s="27">
        <f t="shared" si="4"/>
        <v>11796.913826976968</v>
      </c>
      <c r="AA9" s="27">
        <f t="shared" si="4"/>
        <v>10983.468379642985</v>
      </c>
      <c r="AB9" s="27">
        <f t="shared" si="4"/>
        <v>9849.177814841596</v>
      </c>
      <c r="AC9" s="27">
        <f t="shared" si="4"/>
        <v>9860.1810774126971</v>
      </c>
      <c r="AD9" s="27">
        <f t="shared" si="4"/>
        <v>8971.2748280849592</v>
      </c>
      <c r="AE9" s="27">
        <f t="shared" si="4"/>
        <v>8653.3481029715658</v>
      </c>
      <c r="AF9" s="27">
        <f t="shared" si="4"/>
        <v>7369.39488643408</v>
      </c>
      <c r="AG9" s="27">
        <f t="shared" si="4"/>
        <v>5434.4515663246975</v>
      </c>
      <c r="AH9" s="166">
        <f t="shared" ref="AH9" si="5">SUMIF(AH10:AH12,"&lt;1E+307")</f>
        <v>5202.2010832672249</v>
      </c>
      <c r="AI9" s="142">
        <f t="shared" ref="AI9" si="6">SUMIF(AI10:AI12,"&lt;1E+307")</f>
        <v>5065.5762149152069</v>
      </c>
      <c r="AJ9" s="27">
        <f t="shared" ref="AJ9:AK9" si="7">SUMIF(AJ10:AJ12,"&lt;1E+307")</f>
        <v>4762.2641273517593</v>
      </c>
      <c r="AK9" s="166">
        <f t="shared" si="7"/>
        <v>4603.6044025862866</v>
      </c>
      <c r="AL9" s="166">
        <f t="shared" ref="AL9" si="8">SUMIF(AL10:AL12,"&lt;1E+307")</f>
        <v>4598.5486105068794</v>
      </c>
    </row>
    <row r="10" spans="2:38" ht="18.75" customHeight="1">
      <c r="B10" s="18" t="s">
        <v>0</v>
      </c>
      <c r="C10" s="15" t="s">
        <v>188</v>
      </c>
      <c r="D10" s="28">
        <v>313.83872295999993</v>
      </c>
      <c r="E10" s="167">
        <v>324.97437885639982</v>
      </c>
      <c r="F10" s="167">
        <v>331.56472254359994</v>
      </c>
      <c r="G10" s="167">
        <v>344.74780059999989</v>
      </c>
      <c r="H10" s="167">
        <v>354.46591498359999</v>
      </c>
      <c r="I10" s="167">
        <v>443.55504687645595</v>
      </c>
      <c r="J10" s="167">
        <v>480.75904312569185</v>
      </c>
      <c r="K10" s="167">
        <v>518.85502885170047</v>
      </c>
      <c r="L10" s="167">
        <v>538.89557768727946</v>
      </c>
      <c r="M10" s="167">
        <v>554.78500064993273</v>
      </c>
      <c r="N10" s="167">
        <v>544.96579130174655</v>
      </c>
      <c r="O10" s="167">
        <v>515.76042150755097</v>
      </c>
      <c r="P10" s="167">
        <v>539.14929878757096</v>
      </c>
      <c r="Q10" s="167">
        <v>921.74614308818241</v>
      </c>
      <c r="R10" s="167">
        <v>889.93533872739999</v>
      </c>
      <c r="S10" s="167">
        <v>960.53381930062721</v>
      </c>
      <c r="T10" s="167">
        <v>1109.052890918606</v>
      </c>
      <c r="U10" s="167">
        <v>1449.8505220649799</v>
      </c>
      <c r="V10" s="167">
        <v>1645.5001608268994</v>
      </c>
      <c r="W10" s="167">
        <v>1706.9864107713433</v>
      </c>
      <c r="X10" s="167">
        <v>1848.4205439452192</v>
      </c>
      <c r="Y10" s="167">
        <v>2043.24279150096</v>
      </c>
      <c r="Z10" s="167">
        <v>2397.9129133188599</v>
      </c>
      <c r="AA10" s="167">
        <v>2482.0390746817393</v>
      </c>
      <c r="AB10" s="167">
        <v>2500.1017110434395</v>
      </c>
      <c r="AC10" s="167">
        <v>2573.814725090383</v>
      </c>
      <c r="AD10" s="167">
        <v>2686.5788433673001</v>
      </c>
      <c r="AE10" s="167">
        <v>2691.0541295279595</v>
      </c>
      <c r="AF10" s="167">
        <v>2704.18470823802</v>
      </c>
      <c r="AG10" s="167">
        <v>2762.8772114567387</v>
      </c>
      <c r="AH10" s="167">
        <v>2928.4067076014794</v>
      </c>
      <c r="AI10" s="167">
        <v>2936.8041372303201</v>
      </c>
      <c r="AJ10" s="167">
        <v>2831.7444769830995</v>
      </c>
      <c r="AK10" s="167">
        <v>2725.5019915866392</v>
      </c>
      <c r="AL10" s="167">
        <v>2729.0800970127798</v>
      </c>
    </row>
    <row r="11" spans="2:38" s="88" customFormat="1" ht="18.75" customHeight="1">
      <c r="B11" s="19" t="s">
        <v>2</v>
      </c>
      <c r="C11" s="14" t="s">
        <v>189</v>
      </c>
      <c r="D11" s="29">
        <v>5.9521719599999994</v>
      </c>
      <c r="E11" s="29">
        <v>6.2545394799999992</v>
      </c>
      <c r="F11" s="29">
        <v>6.1835382000000001</v>
      </c>
      <c r="G11" s="29">
        <v>6.543441239999999</v>
      </c>
      <c r="H11" s="29">
        <v>6.6631028799999985</v>
      </c>
      <c r="I11" s="29">
        <v>7.2653896000000007</v>
      </c>
      <c r="J11" s="29">
        <v>8.129845391111111</v>
      </c>
      <c r="K11" s="29">
        <v>7.7661995911111106</v>
      </c>
      <c r="L11" s="29">
        <v>7.8371012533333326</v>
      </c>
      <c r="M11" s="29">
        <v>7.8137545111111111</v>
      </c>
      <c r="N11" s="29">
        <v>7.7481873155555556</v>
      </c>
      <c r="O11" s="29">
        <v>8.1706116799999986</v>
      </c>
      <c r="P11" s="29">
        <v>8.7768576466666683</v>
      </c>
      <c r="Q11" s="29">
        <v>8.2560490133333335</v>
      </c>
      <c r="R11" s="29">
        <v>8.2975374999999989</v>
      </c>
      <c r="S11" s="29">
        <v>8.1065837968966665</v>
      </c>
      <c r="T11" s="29">
        <v>9.1483026954666666</v>
      </c>
      <c r="U11" s="29">
        <v>7.4700059895299997</v>
      </c>
      <c r="V11" s="29">
        <v>7.8453281696999992</v>
      </c>
      <c r="W11" s="29">
        <v>7.3929844823333326</v>
      </c>
      <c r="X11" s="29">
        <v>6.430481243760001</v>
      </c>
      <c r="Y11" s="29">
        <v>6.7122673765000007</v>
      </c>
      <c r="Z11" s="29">
        <v>6.7636465269800006</v>
      </c>
      <c r="AA11" s="29">
        <v>8.0369145693199986</v>
      </c>
      <c r="AB11" s="29">
        <v>6.5356555030199992</v>
      </c>
      <c r="AC11" s="29">
        <v>6.7379790025799995</v>
      </c>
      <c r="AD11" s="29">
        <v>5.7318473829399998</v>
      </c>
      <c r="AE11" s="29">
        <v>6.8591125136800004</v>
      </c>
      <c r="AF11" s="29">
        <v>7.2977872154600005</v>
      </c>
      <c r="AG11" s="29">
        <v>6.5516391431400001</v>
      </c>
      <c r="AH11" s="168">
        <v>4.2057436420999998</v>
      </c>
      <c r="AI11" s="144">
        <v>4.58557206464</v>
      </c>
      <c r="AJ11" s="29">
        <v>7.2264910198599992</v>
      </c>
      <c r="AK11" s="168">
        <v>5.0843469355000002</v>
      </c>
      <c r="AL11" s="168">
        <v>4.6949330022</v>
      </c>
    </row>
    <row r="12" spans="2:38" s="88" customFormat="1" ht="18.75" customHeight="1">
      <c r="B12" s="90" t="s">
        <v>1</v>
      </c>
      <c r="C12" s="89" t="s">
        <v>190</v>
      </c>
      <c r="D12" s="91">
        <v>38744.497011569205</v>
      </c>
      <c r="E12" s="91">
        <v>37925.4435676746</v>
      </c>
      <c r="F12" s="91">
        <v>35441.220081085761</v>
      </c>
      <c r="G12" s="91">
        <v>36939.973123355325</v>
      </c>
      <c r="H12" s="91">
        <v>33596.559573884871</v>
      </c>
      <c r="I12" s="91">
        <v>32335.703955720419</v>
      </c>
      <c r="J12" s="91">
        <v>31100.977501981422</v>
      </c>
      <c r="K12" s="91">
        <v>30360.009635617309</v>
      </c>
      <c r="L12" s="91">
        <v>27478.002960980954</v>
      </c>
      <c r="M12" s="91">
        <v>28663.201947894395</v>
      </c>
      <c r="N12" s="91">
        <v>26627.929984780538</v>
      </c>
      <c r="O12" s="91">
        <v>23991.227406787642</v>
      </c>
      <c r="P12" s="91">
        <v>22571.520586093076</v>
      </c>
      <c r="Q12" s="91">
        <v>20420.156252279678</v>
      </c>
      <c r="R12" s="91">
        <v>17368.189463214614</v>
      </c>
      <c r="S12" s="91">
        <v>15303.324829209854</v>
      </c>
      <c r="T12" s="91">
        <v>13186.865207526676</v>
      </c>
      <c r="U12" s="91">
        <v>11638.089757434996</v>
      </c>
      <c r="V12" s="91">
        <v>11122.801659995544</v>
      </c>
      <c r="W12" s="91">
        <v>9634.2609334092085</v>
      </c>
      <c r="X12" s="91">
        <v>9333.6477440882227</v>
      </c>
      <c r="Y12" s="91">
        <v>8790.9987814718988</v>
      </c>
      <c r="Z12" s="91">
        <v>9392.2372671311277</v>
      </c>
      <c r="AA12" s="91">
        <v>8493.3923903919258</v>
      </c>
      <c r="AB12" s="91">
        <v>7342.5404482951362</v>
      </c>
      <c r="AC12" s="91">
        <v>7279.6283733197351</v>
      </c>
      <c r="AD12" s="91">
        <v>6278.9641373347185</v>
      </c>
      <c r="AE12" s="91">
        <v>5955.4348609299268</v>
      </c>
      <c r="AF12" s="91">
        <v>4657.9123909805994</v>
      </c>
      <c r="AG12" s="91">
        <v>2665.0227157248187</v>
      </c>
      <c r="AH12" s="167">
        <v>2269.5886320236455</v>
      </c>
      <c r="AI12" s="143">
        <v>2124.1865056202464</v>
      </c>
      <c r="AJ12" s="91">
        <v>1923.2931593487995</v>
      </c>
      <c r="AK12" s="167">
        <v>1873.0180640641479</v>
      </c>
      <c r="AL12" s="167">
        <v>1864.7735804918998</v>
      </c>
    </row>
    <row r="13" spans="2:38" s="10" customFormat="1" ht="18.75" customHeight="1">
      <c r="B13" s="9"/>
      <c r="C13" s="20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166"/>
      <c r="AI13" s="142"/>
      <c r="AJ13" s="27"/>
      <c r="AK13" s="166"/>
      <c r="AL13" s="166"/>
    </row>
    <row r="14" spans="2:38" s="10" customFormat="1" ht="18.75" customHeight="1">
      <c r="B14" s="6" t="s">
        <v>9</v>
      </c>
      <c r="C14" s="22" t="s">
        <v>3</v>
      </c>
      <c r="D14" s="26">
        <f t="shared" ref="D14:AJ14" si="9">SUMIF(D15:D19,"&lt;1E+307")</f>
        <v>740.73235372218471</v>
      </c>
      <c r="E14" s="26">
        <f t="shared" si="9"/>
        <v>698.59891540060869</v>
      </c>
      <c r="F14" s="26">
        <f t="shared" si="9"/>
        <v>715.82668537243751</v>
      </c>
      <c r="G14" s="26">
        <f t="shared" si="9"/>
        <v>746.89491936818376</v>
      </c>
      <c r="H14" s="26">
        <f t="shared" si="9"/>
        <v>791.43094508366892</v>
      </c>
      <c r="I14" s="26">
        <f t="shared" si="9"/>
        <v>821.04520233880999</v>
      </c>
      <c r="J14" s="26">
        <f t="shared" si="9"/>
        <v>815.20218994927018</v>
      </c>
      <c r="K14" s="26">
        <f t="shared" si="9"/>
        <v>850.48766804104264</v>
      </c>
      <c r="L14" s="26">
        <f t="shared" si="9"/>
        <v>879.52502198940545</v>
      </c>
      <c r="M14" s="26">
        <f t="shared" si="9"/>
        <v>910.12574382025423</v>
      </c>
      <c r="N14" s="26">
        <f t="shared" si="9"/>
        <v>963.27366356857442</v>
      </c>
      <c r="O14" s="26">
        <f t="shared" si="9"/>
        <v>943.78631666161891</v>
      </c>
      <c r="P14" s="26">
        <f t="shared" si="9"/>
        <v>899.51079006311761</v>
      </c>
      <c r="Q14" s="26">
        <f t="shared" si="9"/>
        <v>954.50989300621086</v>
      </c>
      <c r="R14" s="26">
        <f t="shared" si="9"/>
        <v>979.83590507206554</v>
      </c>
      <c r="S14" s="26">
        <f t="shared" si="9"/>
        <v>1011.2434102028179</v>
      </c>
      <c r="T14" s="26">
        <f t="shared" si="9"/>
        <v>1019.4074359177988</v>
      </c>
      <c r="U14" s="26">
        <f t="shared" si="9"/>
        <v>1009.8202327820604</v>
      </c>
      <c r="V14" s="26">
        <f t="shared" si="9"/>
        <v>980.07113552951535</v>
      </c>
      <c r="W14" s="26">
        <f t="shared" si="9"/>
        <v>921.55135503596057</v>
      </c>
      <c r="X14" s="26">
        <f t="shared" si="9"/>
        <v>970.82539413518236</v>
      </c>
      <c r="Y14" s="26">
        <f t="shared" si="9"/>
        <v>974.3899939236494</v>
      </c>
      <c r="Z14" s="26">
        <f t="shared" si="9"/>
        <v>959.39001150564138</v>
      </c>
      <c r="AA14" s="26">
        <f t="shared" si="9"/>
        <v>950.53065951154622</v>
      </c>
      <c r="AB14" s="26">
        <f t="shared" si="9"/>
        <v>967.59884382256814</v>
      </c>
      <c r="AC14" s="26">
        <f t="shared" si="9"/>
        <v>974.66521858889746</v>
      </c>
      <c r="AD14" s="26">
        <f t="shared" si="9"/>
        <v>983.20843541604654</v>
      </c>
      <c r="AE14" s="26">
        <f t="shared" si="9"/>
        <v>999.20627879611527</v>
      </c>
      <c r="AF14" s="26">
        <f t="shared" si="9"/>
        <v>959.01335409554849</v>
      </c>
      <c r="AG14" s="26">
        <f t="shared" si="9"/>
        <v>950.46993009469588</v>
      </c>
      <c r="AH14" s="165">
        <f t="shared" si="9"/>
        <v>975.93678454537417</v>
      </c>
      <c r="AI14" s="141">
        <f t="shared" si="9"/>
        <v>1001.957564603694</v>
      </c>
      <c r="AJ14" s="26">
        <f t="shared" si="9"/>
        <v>869.12887255340104</v>
      </c>
      <c r="AK14" s="165">
        <f t="shared" ref="AK14:AL14" si="10">SUMIF(AK15:AK19,"&lt;1E+307")</f>
        <v>784.35455885095587</v>
      </c>
      <c r="AL14" s="165">
        <f t="shared" si="10"/>
        <v>815.99967678376902</v>
      </c>
    </row>
    <row r="15" spans="2:38" ht="18.75" customHeight="1">
      <c r="B15" s="19" t="s">
        <v>24</v>
      </c>
      <c r="C15" s="14" t="s">
        <v>191</v>
      </c>
      <c r="D15" s="29">
        <v>280.44334735338487</v>
      </c>
      <c r="E15" s="29">
        <v>245.84232860060865</v>
      </c>
      <c r="F15" s="29">
        <v>233.3524042836375</v>
      </c>
      <c r="G15" s="29">
        <v>223.60959109618392</v>
      </c>
      <c r="H15" s="29">
        <v>226.12784028366903</v>
      </c>
      <c r="I15" s="29">
        <v>248.74734555081005</v>
      </c>
      <c r="J15" s="29">
        <v>260.2515652844703</v>
      </c>
      <c r="K15" s="29">
        <v>255.45260869224268</v>
      </c>
      <c r="L15" s="29">
        <v>258.93691076380554</v>
      </c>
      <c r="M15" s="29">
        <v>248.50669493225413</v>
      </c>
      <c r="N15" s="29">
        <v>251.09913548537449</v>
      </c>
      <c r="O15" s="29">
        <v>245.09294540881896</v>
      </c>
      <c r="P15" s="29">
        <v>241.02115718791768</v>
      </c>
      <c r="Q15" s="29">
        <v>232.22116312461077</v>
      </c>
      <c r="R15" s="29">
        <v>260.8754961976656</v>
      </c>
      <c r="S15" s="29">
        <v>271.03140247321807</v>
      </c>
      <c r="T15" s="29">
        <v>297.09858946419871</v>
      </c>
      <c r="U15" s="29">
        <v>287.71495078046053</v>
      </c>
      <c r="V15" s="29">
        <v>299.27923552871545</v>
      </c>
      <c r="W15" s="29">
        <v>277.8709210211606</v>
      </c>
      <c r="X15" s="29">
        <v>306.42703844838229</v>
      </c>
      <c r="Y15" s="29">
        <v>317.01035510284936</v>
      </c>
      <c r="Z15" s="29">
        <v>316.4402443620416</v>
      </c>
      <c r="AA15" s="29">
        <v>315.80649095754637</v>
      </c>
      <c r="AB15" s="29">
        <v>311.10434668016813</v>
      </c>
      <c r="AC15" s="29">
        <v>315.7681638568975</v>
      </c>
      <c r="AD15" s="29">
        <v>317.03818349884648</v>
      </c>
      <c r="AE15" s="29">
        <v>323.96372993028672</v>
      </c>
      <c r="AF15" s="29">
        <v>318.01117729354854</v>
      </c>
      <c r="AG15" s="29">
        <v>317.66137325483515</v>
      </c>
      <c r="AH15" s="168">
        <v>312.62200836527234</v>
      </c>
      <c r="AI15" s="144">
        <v>335.59983845419413</v>
      </c>
      <c r="AJ15" s="29">
        <v>300.11806723900889</v>
      </c>
      <c r="AK15" s="168">
        <v>280.18149632218382</v>
      </c>
      <c r="AL15" s="168">
        <v>290.28525976775722</v>
      </c>
    </row>
    <row r="16" spans="2:38" ht="18.75" customHeight="1">
      <c r="B16" s="18" t="s">
        <v>11</v>
      </c>
      <c r="C16" s="15" t="s">
        <v>192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167">
        <v>0</v>
      </c>
      <c r="AI16" s="143">
        <v>0</v>
      </c>
      <c r="AJ16" s="91">
        <v>0</v>
      </c>
      <c r="AK16" s="167">
        <v>0</v>
      </c>
      <c r="AL16" s="167">
        <v>0</v>
      </c>
    </row>
    <row r="17" spans="2:38" ht="18.75" customHeight="1">
      <c r="B17" s="19" t="s">
        <v>12</v>
      </c>
      <c r="C17" s="14" t="s">
        <v>193</v>
      </c>
      <c r="D17" s="29">
        <v>440.3821568887999</v>
      </c>
      <c r="E17" s="29">
        <v>435.58711699999998</v>
      </c>
      <c r="F17" s="29">
        <v>464.9490945288</v>
      </c>
      <c r="G17" s="29">
        <v>507.25101823199986</v>
      </c>
      <c r="H17" s="29">
        <v>548.18639371999996</v>
      </c>
      <c r="I17" s="29">
        <v>548.93999498799997</v>
      </c>
      <c r="J17" s="29">
        <v>527.03880450479994</v>
      </c>
      <c r="K17" s="29">
        <v>565.81679900480003</v>
      </c>
      <c r="L17" s="29">
        <v>591.0167280416</v>
      </c>
      <c r="M17" s="29">
        <v>631.33933172800005</v>
      </c>
      <c r="N17" s="29">
        <v>679.34443960319993</v>
      </c>
      <c r="O17" s="29">
        <v>667.86644555679993</v>
      </c>
      <c r="P17" s="29">
        <v>626.11114407519995</v>
      </c>
      <c r="Q17" s="29">
        <v>688.10339805759997</v>
      </c>
      <c r="R17" s="29">
        <v>683.25936175279992</v>
      </c>
      <c r="S17" s="29">
        <v>702.63280227279995</v>
      </c>
      <c r="T17" s="29">
        <v>685.80856979040004</v>
      </c>
      <c r="U17" s="29">
        <v>682.3948687976</v>
      </c>
      <c r="V17" s="29">
        <v>643.16203127119991</v>
      </c>
      <c r="W17" s="29">
        <v>600.56324988519987</v>
      </c>
      <c r="X17" s="29">
        <v>617.36071692960002</v>
      </c>
      <c r="Y17" s="29">
        <v>608.75448162760006</v>
      </c>
      <c r="Z17" s="29">
        <v>593.2091227159998</v>
      </c>
      <c r="AA17" s="29">
        <v>585.59351955999989</v>
      </c>
      <c r="AB17" s="29">
        <v>608.26918430599994</v>
      </c>
      <c r="AC17" s="29">
        <v>610.11353965239994</v>
      </c>
      <c r="AD17" s="29">
        <v>622.546024364</v>
      </c>
      <c r="AE17" s="29">
        <v>629.46028475222852</v>
      </c>
      <c r="AF17" s="29">
        <v>593.81501917599985</v>
      </c>
      <c r="AG17" s="29">
        <v>588.53585598034067</v>
      </c>
      <c r="AH17" s="168">
        <v>630.44679003268573</v>
      </c>
      <c r="AI17" s="144">
        <v>635.02001989946791</v>
      </c>
      <c r="AJ17" s="29">
        <v>539.2441773451601</v>
      </c>
      <c r="AK17" s="168">
        <v>478.91758439557196</v>
      </c>
      <c r="AL17" s="168">
        <v>502.55207753601195</v>
      </c>
    </row>
    <row r="18" spans="2:38" ht="18.75" customHeight="1">
      <c r="B18" s="18" t="s">
        <v>13</v>
      </c>
      <c r="C18" s="15" t="s">
        <v>194</v>
      </c>
      <c r="D18" s="28">
        <v>14.834399999999999</v>
      </c>
      <c r="E18" s="28">
        <v>10.585175999999999</v>
      </c>
      <c r="F18" s="28">
        <v>9.3919280000000001</v>
      </c>
      <c r="G18" s="28">
        <v>6.3663599999999994</v>
      </c>
      <c r="H18" s="28">
        <v>5.9229407999999983</v>
      </c>
      <c r="I18" s="28">
        <v>10.618876799999999</v>
      </c>
      <c r="J18" s="28">
        <v>10.162286119999999</v>
      </c>
      <c r="K18" s="28">
        <v>10.228834224000002</v>
      </c>
      <c r="L18" s="28">
        <v>9.845363304000001</v>
      </c>
      <c r="M18" s="28">
        <v>9.3715591200000006</v>
      </c>
      <c r="N18" s="28">
        <v>9.9792610400000008</v>
      </c>
      <c r="O18" s="28">
        <v>9.3822476160000008</v>
      </c>
      <c r="P18" s="28">
        <v>9.1328664000000011</v>
      </c>
      <c r="Q18" s="28">
        <v>8.8293455040000008</v>
      </c>
      <c r="R18" s="28">
        <v>9.1005266016000004</v>
      </c>
      <c r="S18" s="28">
        <v>8.7431820168000005</v>
      </c>
      <c r="T18" s="28">
        <v>9.3814576631999991</v>
      </c>
      <c r="U18" s="28">
        <v>8.7309693239999984</v>
      </c>
      <c r="V18" s="28">
        <v>8.5740466895999994</v>
      </c>
      <c r="W18" s="28">
        <v>6.3100459296000002</v>
      </c>
      <c r="X18" s="28">
        <v>7.8378924371999998</v>
      </c>
      <c r="Y18" s="28">
        <v>8.1253529532000002</v>
      </c>
      <c r="Z18" s="28">
        <v>7.7945967875999989</v>
      </c>
      <c r="AA18" s="28">
        <v>7.8087599939999999</v>
      </c>
      <c r="AB18" s="28">
        <v>7.7633889564</v>
      </c>
      <c r="AC18" s="28">
        <v>7.7945701595999983</v>
      </c>
      <c r="AD18" s="28">
        <v>7.7866977131999997</v>
      </c>
      <c r="AE18" s="28">
        <v>8.0091849935999999</v>
      </c>
      <c r="AF18" s="28">
        <v>7.7594022660000004</v>
      </c>
      <c r="AG18" s="28">
        <v>7.3723237795199994</v>
      </c>
      <c r="AH18" s="167">
        <v>6.7138360274159998</v>
      </c>
      <c r="AI18" s="143">
        <v>7.2414360100319994</v>
      </c>
      <c r="AJ18" s="91">
        <v>6.8145659692320004</v>
      </c>
      <c r="AK18" s="167">
        <v>6.6358191731999998</v>
      </c>
      <c r="AL18" s="167">
        <v>6.6595368000000006</v>
      </c>
    </row>
    <row r="19" spans="2:38" ht="18.75" customHeight="1">
      <c r="B19" s="19" t="s">
        <v>80</v>
      </c>
      <c r="C19" s="14" t="s">
        <v>195</v>
      </c>
      <c r="D19" s="29">
        <v>5.0724494800000013</v>
      </c>
      <c r="E19" s="29">
        <v>6.5842937999999993</v>
      </c>
      <c r="F19" s="29">
        <v>8.1332585599999998</v>
      </c>
      <c r="G19" s="29">
        <v>9.6679500399999991</v>
      </c>
      <c r="H19" s="29">
        <v>11.193770280000001</v>
      </c>
      <c r="I19" s="29">
        <v>12.738985</v>
      </c>
      <c r="J19" s="29">
        <v>17.74953404</v>
      </c>
      <c r="K19" s="29">
        <v>18.989426120000001</v>
      </c>
      <c r="L19" s="29">
        <v>19.726019880000003</v>
      </c>
      <c r="M19" s="29">
        <v>20.908158040000004</v>
      </c>
      <c r="N19" s="29">
        <v>22.850827440000003</v>
      </c>
      <c r="O19" s="29">
        <v>21.444678079999996</v>
      </c>
      <c r="P19" s="29">
        <v>23.245622400000002</v>
      </c>
      <c r="Q19" s="29">
        <v>25.35598632</v>
      </c>
      <c r="R19" s="29">
        <v>26.600520520000003</v>
      </c>
      <c r="S19" s="29">
        <v>28.836023440000005</v>
      </c>
      <c r="T19" s="29">
        <v>27.118819000000002</v>
      </c>
      <c r="U19" s="29">
        <v>30.979443879999998</v>
      </c>
      <c r="V19" s="29">
        <v>29.055822040000006</v>
      </c>
      <c r="W19" s="29">
        <v>36.807138200000004</v>
      </c>
      <c r="X19" s="29">
        <v>39.199746320000003</v>
      </c>
      <c r="Y19" s="29">
        <v>40.499804240000003</v>
      </c>
      <c r="Z19" s="29">
        <v>41.946047639999996</v>
      </c>
      <c r="AA19" s="29">
        <v>41.321888999999999</v>
      </c>
      <c r="AB19" s="29">
        <v>40.461923879999993</v>
      </c>
      <c r="AC19" s="29">
        <v>40.988944920000002</v>
      </c>
      <c r="AD19" s="29">
        <v>35.837529840000002</v>
      </c>
      <c r="AE19" s="29">
        <v>37.773079120000006</v>
      </c>
      <c r="AF19" s="29">
        <v>39.427755359999999</v>
      </c>
      <c r="AG19" s="29">
        <v>36.900377080000005</v>
      </c>
      <c r="AH19" s="168">
        <v>26.154150120000001</v>
      </c>
      <c r="AI19" s="144">
        <v>24.096270240000003</v>
      </c>
      <c r="AJ19" s="29">
        <v>22.952061999999998</v>
      </c>
      <c r="AK19" s="168">
        <v>18.619658959999999</v>
      </c>
      <c r="AL19" s="168">
        <v>16.502802680000002</v>
      </c>
    </row>
    <row r="20" spans="2:38" s="150" customFormat="1" ht="18.75" customHeight="1">
      <c r="B20" s="90"/>
      <c r="C20" s="160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</row>
    <row r="21" spans="2:38" s="10" customFormat="1" ht="18.75" customHeight="1">
      <c r="B21" s="152" t="s">
        <v>10</v>
      </c>
      <c r="C21" s="163" t="s">
        <v>3</v>
      </c>
      <c r="D21" s="166">
        <f>SUMIF(D22:D24,"&lt;1E+307")</f>
        <v>4732.7485460843427</v>
      </c>
      <c r="E21" s="166">
        <f t="shared" ref="E21:AE21" si="11">SUMIF(E22:E24,"&lt;1E+307")</f>
        <v>3211.7504079636351</v>
      </c>
      <c r="F21" s="166">
        <f t="shared" si="11"/>
        <v>2202.1104723575086</v>
      </c>
      <c r="G21" s="166">
        <f t="shared" si="11"/>
        <v>1907.3799702114989</v>
      </c>
      <c r="H21" s="166">
        <f t="shared" si="11"/>
        <v>1470.9650913361288</v>
      </c>
      <c r="I21" s="166">
        <f t="shared" si="11"/>
        <v>1265.5181587655297</v>
      </c>
      <c r="J21" s="166">
        <f t="shared" si="11"/>
        <v>1214.9809637960934</v>
      </c>
      <c r="K21" s="166">
        <f t="shared" si="11"/>
        <v>1219.8105529985239</v>
      </c>
      <c r="L21" s="166">
        <f t="shared" si="11"/>
        <v>1003.4617864415857</v>
      </c>
      <c r="M21" s="166">
        <f t="shared" si="11"/>
        <v>981.10100545368061</v>
      </c>
      <c r="N21" s="166">
        <f t="shared" si="11"/>
        <v>945.23346924137331</v>
      </c>
      <c r="O21" s="166">
        <f t="shared" si="11"/>
        <v>1015.8357004440094</v>
      </c>
      <c r="P21" s="166">
        <f t="shared" si="11"/>
        <v>951.93051936198117</v>
      </c>
      <c r="Q21" s="166">
        <f t="shared" si="11"/>
        <v>847.33955339713248</v>
      </c>
      <c r="R21" s="166">
        <f t="shared" si="11"/>
        <v>788.10209677185458</v>
      </c>
      <c r="S21" s="166">
        <f t="shared" si="11"/>
        <v>777.31442050579835</v>
      </c>
      <c r="T21" s="166">
        <f t="shared" si="11"/>
        <v>903.16825145092298</v>
      </c>
      <c r="U21" s="166">
        <f t="shared" si="11"/>
        <v>902.98376843644041</v>
      </c>
      <c r="V21" s="166">
        <f t="shared" si="11"/>
        <v>1054.4448880009538</v>
      </c>
      <c r="W21" s="166">
        <f t="shared" si="11"/>
        <v>988.58754269277802</v>
      </c>
      <c r="X21" s="166">
        <f t="shared" si="11"/>
        <v>1278.7514197462331</v>
      </c>
      <c r="Y21" s="166">
        <f t="shared" si="11"/>
        <v>1131.7543642208884</v>
      </c>
      <c r="Z21" s="166">
        <f t="shared" si="11"/>
        <v>1217.6755927577979</v>
      </c>
      <c r="AA21" s="166">
        <f t="shared" si="11"/>
        <v>1241.7948158070533</v>
      </c>
      <c r="AB21" s="166">
        <f t="shared" si="11"/>
        <v>1026.5935065070887</v>
      </c>
      <c r="AC21" s="166">
        <f t="shared" si="11"/>
        <v>1081.1855772882363</v>
      </c>
      <c r="AD21" s="166">
        <f t="shared" si="11"/>
        <v>1026.815557336789</v>
      </c>
      <c r="AE21" s="166">
        <f t="shared" si="11"/>
        <v>1043.9915122862435</v>
      </c>
      <c r="AF21" s="166">
        <f t="shared" ref="AF21:AG21" si="12">SUMIF(AF22:AF24,"&lt;1E+307")</f>
        <v>1045.7397452275275</v>
      </c>
      <c r="AG21" s="166">
        <f t="shared" si="12"/>
        <v>1019.5713102827216</v>
      </c>
      <c r="AH21" s="166">
        <f t="shared" ref="AH21" si="13">SUMIF(AH22:AH24,"&lt;1E+307")</f>
        <v>972.53365104043121</v>
      </c>
      <c r="AI21" s="166">
        <f t="shared" ref="AI21" si="14">SUMIF(AI22:AI24,"&lt;1E+307")</f>
        <v>1109.9978286194487</v>
      </c>
      <c r="AJ21" s="166">
        <f t="shared" ref="AJ21:AK21" si="15">SUMIF(AJ22:AJ24,"&lt;1E+307")</f>
        <v>1141.0521913607629</v>
      </c>
      <c r="AK21" s="166">
        <f t="shared" si="15"/>
        <v>948.34822963875069</v>
      </c>
      <c r="AL21" s="166">
        <f t="shared" ref="AL21" si="16">SUMIF(AL22:AL24,"&lt;1E+307")</f>
        <v>927.82780007922861</v>
      </c>
    </row>
    <row r="22" spans="2:38" s="150" customFormat="1" ht="18.75" customHeight="1">
      <c r="B22" s="90" t="s">
        <v>72</v>
      </c>
      <c r="C22" s="160" t="s">
        <v>196</v>
      </c>
      <c r="D22" s="167">
        <v>1636.924051808327</v>
      </c>
      <c r="E22" s="167">
        <v>1045.3932265253923</v>
      </c>
      <c r="F22" s="167">
        <v>611.71978143399565</v>
      </c>
      <c r="G22" s="167">
        <v>460.26353248706272</v>
      </c>
      <c r="H22" s="167">
        <v>215.12885134163071</v>
      </c>
      <c r="I22" s="167">
        <v>269.84809606205522</v>
      </c>
      <c r="J22" s="167">
        <v>208.43035217718511</v>
      </c>
      <c r="K22" s="167">
        <v>261.94981246074377</v>
      </c>
      <c r="L22" s="167">
        <v>126.90963215604108</v>
      </c>
      <c r="M22" s="167">
        <v>100.35871415395687</v>
      </c>
      <c r="N22" s="167">
        <v>106.20829573965531</v>
      </c>
      <c r="O22" s="167">
        <v>94.957743103688202</v>
      </c>
      <c r="P22" s="167">
        <v>90.32736157368177</v>
      </c>
      <c r="Q22" s="167">
        <v>33.663542182822695</v>
      </c>
      <c r="R22" s="167">
        <v>31.764567085814839</v>
      </c>
      <c r="S22" s="167">
        <v>34.509447105527208</v>
      </c>
      <c r="T22" s="167">
        <v>42.594505129239437</v>
      </c>
      <c r="U22" s="167">
        <v>47.96824755284117</v>
      </c>
      <c r="V22" s="167">
        <v>61.214371586326216</v>
      </c>
      <c r="W22" s="167">
        <v>67.243151023956329</v>
      </c>
      <c r="X22" s="167">
        <v>94.94414861815234</v>
      </c>
      <c r="Y22" s="167">
        <v>78.239952197602705</v>
      </c>
      <c r="Z22" s="167">
        <v>92.258127181956198</v>
      </c>
      <c r="AA22" s="167">
        <v>90.04817094194641</v>
      </c>
      <c r="AB22" s="167">
        <v>85.230923592935397</v>
      </c>
      <c r="AC22" s="167">
        <v>101.47059422548212</v>
      </c>
      <c r="AD22" s="167">
        <v>98.724996887288029</v>
      </c>
      <c r="AE22" s="167">
        <v>101.70273218803679</v>
      </c>
      <c r="AF22" s="167">
        <v>95.332468691618686</v>
      </c>
      <c r="AG22" s="167">
        <v>97.198700149823722</v>
      </c>
      <c r="AH22" s="167">
        <v>96.664912589222908</v>
      </c>
      <c r="AI22" s="167">
        <v>103.56345826974751</v>
      </c>
      <c r="AJ22" s="167">
        <v>98.49730005234052</v>
      </c>
      <c r="AK22" s="167">
        <v>103.25711622726915</v>
      </c>
      <c r="AL22" s="167">
        <v>103.6041363050013</v>
      </c>
    </row>
    <row r="23" spans="2:38" s="150" customFormat="1" ht="18.75" customHeight="1">
      <c r="B23" s="19" t="s">
        <v>17</v>
      </c>
      <c r="C23" s="159" t="s">
        <v>197</v>
      </c>
      <c r="D23" s="168">
        <v>2782.8577890951597</v>
      </c>
      <c r="E23" s="168">
        <v>1968.730124879517</v>
      </c>
      <c r="F23" s="168">
        <v>1460.6864197359539</v>
      </c>
      <c r="G23" s="168">
        <v>1362.9150197130393</v>
      </c>
      <c r="H23" s="168">
        <v>1215.7731207160475</v>
      </c>
      <c r="I23" s="168">
        <v>979.94899597907613</v>
      </c>
      <c r="J23" s="168">
        <v>998.88333825084499</v>
      </c>
      <c r="K23" s="168">
        <v>952.34315029341258</v>
      </c>
      <c r="L23" s="168">
        <v>871.6705090903979</v>
      </c>
      <c r="M23" s="168">
        <v>876.99370086077852</v>
      </c>
      <c r="N23" s="168">
        <v>835.39068520013814</v>
      </c>
      <c r="O23" s="168">
        <v>917.35820552818461</v>
      </c>
      <c r="P23" s="168">
        <v>858.23487842519819</v>
      </c>
      <c r="Q23" s="168">
        <v>810.8914376858844</v>
      </c>
      <c r="R23" s="168">
        <v>754.01248676188925</v>
      </c>
      <c r="S23" s="168">
        <v>740.15971190796495</v>
      </c>
      <c r="T23" s="168">
        <v>858.30880987356477</v>
      </c>
      <c r="U23" s="168">
        <v>853.22931709784359</v>
      </c>
      <c r="V23" s="168">
        <v>991.51156315372566</v>
      </c>
      <c r="W23" s="168">
        <v>919.73219876394921</v>
      </c>
      <c r="X23" s="168">
        <v>1182.2640360079802</v>
      </c>
      <c r="Y23" s="168">
        <v>1051.9651985785972</v>
      </c>
      <c r="Z23" s="168">
        <v>1123.8851353025727</v>
      </c>
      <c r="AA23" s="168">
        <v>1150.1346340144719</v>
      </c>
      <c r="AB23" s="168">
        <v>939.65283457052942</v>
      </c>
      <c r="AC23" s="168">
        <v>978.13722677316105</v>
      </c>
      <c r="AD23" s="168">
        <v>926.49655120613522</v>
      </c>
      <c r="AE23" s="168">
        <v>940.71122135013002</v>
      </c>
      <c r="AF23" s="168">
        <v>948.83575476824512</v>
      </c>
      <c r="AG23" s="168">
        <v>920.81281703468596</v>
      </c>
      <c r="AH23" s="168">
        <v>874.31499643376799</v>
      </c>
      <c r="AI23" s="168">
        <v>1004.4341821668696</v>
      </c>
      <c r="AJ23" s="168">
        <v>1040.6246690772516</v>
      </c>
      <c r="AK23" s="168">
        <v>843.39745617191738</v>
      </c>
      <c r="AL23" s="168">
        <v>822.71782171583891</v>
      </c>
    </row>
    <row r="24" spans="2:38" s="150" customFormat="1" ht="18.75" customHeight="1">
      <c r="B24" s="90" t="s">
        <v>73</v>
      </c>
      <c r="C24" s="160" t="s">
        <v>198</v>
      </c>
      <c r="D24" s="167">
        <v>312.96670518085665</v>
      </c>
      <c r="E24" s="167">
        <v>197.62705655872594</v>
      </c>
      <c r="F24" s="167">
        <v>129.70427118755899</v>
      </c>
      <c r="G24" s="167">
        <v>84.201418011396697</v>
      </c>
      <c r="H24" s="167">
        <v>40.063119278450593</v>
      </c>
      <c r="I24" s="167">
        <v>15.72106672439843</v>
      </c>
      <c r="J24" s="167">
        <v>7.6672733680633431</v>
      </c>
      <c r="K24" s="167">
        <v>5.5175902443674394</v>
      </c>
      <c r="L24" s="167">
        <v>4.881645195146632</v>
      </c>
      <c r="M24" s="167">
        <v>3.7485904389452376</v>
      </c>
      <c r="N24" s="167">
        <v>3.634488301579784</v>
      </c>
      <c r="O24" s="167">
        <v>3.5197518121364917</v>
      </c>
      <c r="P24" s="167">
        <v>3.3682793631011996</v>
      </c>
      <c r="Q24" s="167">
        <v>2.7845735284254087</v>
      </c>
      <c r="R24" s="167">
        <v>2.3250429241505013</v>
      </c>
      <c r="S24" s="167">
        <v>2.6452614923062301</v>
      </c>
      <c r="T24" s="167">
        <v>2.2649364481187533</v>
      </c>
      <c r="U24" s="167">
        <v>1.7862037857556996</v>
      </c>
      <c r="V24" s="167">
        <v>1.7189532609020775</v>
      </c>
      <c r="W24" s="167">
        <v>1.6121929048724448</v>
      </c>
      <c r="X24" s="167">
        <v>1.5432351201004417</v>
      </c>
      <c r="Y24" s="167">
        <v>1.5492134446885824</v>
      </c>
      <c r="Z24" s="167">
        <v>1.5323302732688733</v>
      </c>
      <c r="AA24" s="167">
        <v>1.612010850634946</v>
      </c>
      <c r="AB24" s="167">
        <v>1.7097483436239076</v>
      </c>
      <c r="AC24" s="167">
        <v>1.5777562895932009</v>
      </c>
      <c r="AD24" s="167">
        <v>1.5940092433656798</v>
      </c>
      <c r="AE24" s="167">
        <v>1.5775587480766211</v>
      </c>
      <c r="AF24" s="167">
        <v>1.5715217676637112</v>
      </c>
      <c r="AG24" s="167">
        <v>1.5597930982119159</v>
      </c>
      <c r="AH24" s="167">
        <v>1.5537420174402818</v>
      </c>
      <c r="AI24" s="167">
        <v>2.0001881828315389</v>
      </c>
      <c r="AJ24" s="167">
        <v>1.9302222311707586</v>
      </c>
      <c r="AK24" s="167">
        <v>1.6936572395641469</v>
      </c>
      <c r="AL24" s="167">
        <v>1.505842058388428</v>
      </c>
    </row>
    <row r="25" spans="2:38" s="150" customFormat="1" ht="18.75" customHeight="1">
      <c r="B25" s="19"/>
      <c r="C25" s="159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</row>
    <row r="26" spans="2:38" s="10" customFormat="1" ht="18.75" customHeight="1">
      <c r="B26" s="153" t="s">
        <v>14</v>
      </c>
      <c r="C26" s="22" t="s">
        <v>3</v>
      </c>
      <c r="D26" s="165">
        <f>SUMIF(D27:D30,"&lt;1E+307")</f>
        <v>1838.612656123687</v>
      </c>
      <c r="E26" s="165">
        <f t="shared" ref="E26:AE26" si="17">SUMIF(E27:E30,"&lt;1E+307")</f>
        <v>1510.6385534725373</v>
      </c>
      <c r="F26" s="165">
        <f t="shared" si="17"/>
        <v>1320.3434819517804</v>
      </c>
      <c r="G26" s="165">
        <f t="shared" si="17"/>
        <v>1157.9267680934583</v>
      </c>
      <c r="H26" s="165">
        <f t="shared" si="17"/>
        <v>986.90967333233436</v>
      </c>
      <c r="I26" s="165">
        <f t="shared" si="17"/>
        <v>910.0752486773066</v>
      </c>
      <c r="J26" s="165">
        <f t="shared" si="17"/>
        <v>830.13927341871613</v>
      </c>
      <c r="K26" s="165">
        <f t="shared" si="17"/>
        <v>744.18482644989865</v>
      </c>
      <c r="L26" s="165">
        <f t="shared" si="17"/>
        <v>679.48631648264336</v>
      </c>
      <c r="M26" s="165">
        <f t="shared" si="17"/>
        <v>622.71938081270366</v>
      </c>
      <c r="N26" s="165">
        <f t="shared" si="17"/>
        <v>562.95556088954118</v>
      </c>
      <c r="O26" s="165">
        <f t="shared" si="17"/>
        <v>510.75852218646986</v>
      </c>
      <c r="P26" s="165">
        <f t="shared" si="17"/>
        <v>476.1267435800948</v>
      </c>
      <c r="Q26" s="165">
        <f t="shared" si="17"/>
        <v>434.05965396546742</v>
      </c>
      <c r="R26" s="165">
        <f t="shared" si="17"/>
        <v>394.68972268892588</v>
      </c>
      <c r="S26" s="165">
        <f t="shared" si="17"/>
        <v>367.72485272438234</v>
      </c>
      <c r="T26" s="165">
        <f t="shared" si="17"/>
        <v>356.06801232802468</v>
      </c>
      <c r="U26" s="165">
        <f t="shared" si="17"/>
        <v>326.62186412385523</v>
      </c>
      <c r="V26" s="165">
        <f t="shared" si="17"/>
        <v>310.06654056529868</v>
      </c>
      <c r="W26" s="165">
        <f t="shared" si="17"/>
        <v>294.97237886600612</v>
      </c>
      <c r="X26" s="165">
        <f t="shared" si="17"/>
        <v>268.17633277539773</v>
      </c>
      <c r="Y26" s="165">
        <f t="shared" si="17"/>
        <v>261.66970617752582</v>
      </c>
      <c r="Z26" s="165">
        <f t="shared" si="17"/>
        <v>243.50473721285942</v>
      </c>
      <c r="AA26" s="165">
        <f t="shared" si="17"/>
        <v>242.54391968496125</v>
      </c>
      <c r="AB26" s="165">
        <f t="shared" si="17"/>
        <v>233.02998455799911</v>
      </c>
      <c r="AC26" s="165">
        <f t="shared" si="17"/>
        <v>253.71522269653389</v>
      </c>
      <c r="AD26" s="165">
        <f t="shared" si="17"/>
        <v>259.57098463143967</v>
      </c>
      <c r="AE26" s="165">
        <f t="shared" si="17"/>
        <v>260.68842623088307</v>
      </c>
      <c r="AF26" s="165">
        <f t="shared" ref="AF26:AG26" si="18">SUMIF(AF27:AF30,"&lt;1E+307")</f>
        <v>258.73733902968104</v>
      </c>
      <c r="AG26" s="165">
        <f t="shared" si="18"/>
        <v>259.55450185887912</v>
      </c>
      <c r="AH26" s="165">
        <f t="shared" ref="AH26" si="19">SUMIF(AH27:AH30,"&lt;1E+307")</f>
        <v>236.90924623494914</v>
      </c>
      <c r="AI26" s="165">
        <f t="shared" ref="AI26" si="20">SUMIF(AI27:AI30,"&lt;1E+307")</f>
        <v>231.91955194127078</v>
      </c>
      <c r="AJ26" s="165">
        <f t="shared" ref="AJ26:AK26" si="21">SUMIF(AJ27:AJ30,"&lt;1E+307")</f>
        <v>247.97440301759113</v>
      </c>
      <c r="AK26" s="165">
        <f t="shared" si="21"/>
        <v>237.47602408896404</v>
      </c>
      <c r="AL26" s="165">
        <f t="shared" ref="AL26" si="22">SUMIF(AL27:AL30,"&lt;1E+307")</f>
        <v>227.60108286253379</v>
      </c>
    </row>
    <row r="27" spans="2:38" s="150" customFormat="1" ht="18.75" customHeight="1">
      <c r="B27" s="19" t="s">
        <v>4</v>
      </c>
      <c r="C27" s="159" t="s">
        <v>199</v>
      </c>
      <c r="D27" s="168">
        <v>3.4839966912178637</v>
      </c>
      <c r="E27" s="168">
        <v>3.3889757791956918</v>
      </c>
      <c r="F27" s="168">
        <v>2.9731471823679598</v>
      </c>
      <c r="G27" s="168">
        <v>2.6837229087543544</v>
      </c>
      <c r="H27" s="168">
        <v>2.8271881743571252</v>
      </c>
      <c r="I27" s="168">
        <v>2.8066358335146511</v>
      </c>
      <c r="J27" s="168">
        <v>2.6226657886467803</v>
      </c>
      <c r="K27" s="168">
        <v>2.7957944107853168</v>
      </c>
      <c r="L27" s="168">
        <v>2.7571793785535461</v>
      </c>
      <c r="M27" s="168">
        <v>2.9060191936468129</v>
      </c>
      <c r="N27" s="168">
        <v>3.0446459251859941</v>
      </c>
      <c r="O27" s="168">
        <v>2.8934927384148117</v>
      </c>
      <c r="P27" s="168">
        <v>2.8087348599535473</v>
      </c>
      <c r="Q27" s="168">
        <v>2.7794761198344773</v>
      </c>
      <c r="R27" s="168">
        <v>2.6403558406560137</v>
      </c>
      <c r="S27" s="168">
        <v>2.6815451289494132</v>
      </c>
      <c r="T27" s="168">
        <v>2.7613041845119648</v>
      </c>
      <c r="U27" s="168">
        <v>2.826089587098751</v>
      </c>
      <c r="V27" s="168">
        <v>2.8406458314827527</v>
      </c>
      <c r="W27" s="168">
        <v>2.6155574249359943</v>
      </c>
      <c r="X27" s="168">
        <v>2.5445239549809187</v>
      </c>
      <c r="Y27" s="168">
        <v>2.5535884300837433</v>
      </c>
      <c r="Z27" s="168">
        <v>2.4643135744858427</v>
      </c>
      <c r="AA27" s="168">
        <v>2.395787086016723</v>
      </c>
      <c r="AB27" s="168">
        <v>2.5439841476783527</v>
      </c>
      <c r="AC27" s="168">
        <v>2.6794308325756173</v>
      </c>
      <c r="AD27" s="168">
        <v>2.5389244834400757</v>
      </c>
      <c r="AE27" s="168">
        <v>2.5923062114892783</v>
      </c>
      <c r="AF27" s="168">
        <v>2.780413265706676</v>
      </c>
      <c r="AG27" s="168">
        <v>2.9237633391227362</v>
      </c>
      <c r="AH27" s="168">
        <v>2.0388590393607577</v>
      </c>
      <c r="AI27" s="168">
        <v>2.1769024766425646</v>
      </c>
      <c r="AJ27" s="168">
        <v>2.422817849971362</v>
      </c>
      <c r="AK27" s="168">
        <v>1.528928625218076</v>
      </c>
      <c r="AL27" s="168">
        <v>1.546055078178594</v>
      </c>
    </row>
    <row r="28" spans="2:38" s="150" customFormat="1" ht="18.75" customHeight="1">
      <c r="B28" s="90" t="s">
        <v>5</v>
      </c>
      <c r="C28" s="160" t="s">
        <v>200</v>
      </c>
      <c r="D28" s="167">
        <v>1812.7468828523929</v>
      </c>
      <c r="E28" s="167">
        <v>1486.6635855136349</v>
      </c>
      <c r="F28" s="167">
        <v>1297.8553370066002</v>
      </c>
      <c r="G28" s="167">
        <v>1136.8736141192164</v>
      </c>
      <c r="H28" s="167">
        <v>967.21698229890512</v>
      </c>
      <c r="I28" s="167">
        <v>892.02602370153636</v>
      </c>
      <c r="J28" s="167">
        <v>813.24689439867859</v>
      </c>
      <c r="K28" s="167">
        <v>731.20682723923539</v>
      </c>
      <c r="L28" s="167">
        <v>668.71099640908324</v>
      </c>
      <c r="M28" s="167">
        <v>612.1466483706231</v>
      </c>
      <c r="N28" s="167">
        <v>553.29756508284891</v>
      </c>
      <c r="O28" s="167">
        <v>503.33641434655863</v>
      </c>
      <c r="P28" s="167">
        <v>470.72225593592771</v>
      </c>
      <c r="Q28" s="167">
        <v>428.4904351205663</v>
      </c>
      <c r="R28" s="167">
        <v>389.25247956288439</v>
      </c>
      <c r="S28" s="167">
        <v>362.31365524115472</v>
      </c>
      <c r="T28" s="167">
        <v>350.70960747749035</v>
      </c>
      <c r="U28" s="167">
        <v>321.43994432100095</v>
      </c>
      <c r="V28" s="167">
        <v>304.80053078031528</v>
      </c>
      <c r="W28" s="167">
        <v>290.29566291040288</v>
      </c>
      <c r="X28" s="167">
        <v>263.50204295532455</v>
      </c>
      <c r="Y28" s="167">
        <v>257.07792597676524</v>
      </c>
      <c r="Z28" s="167">
        <v>239.01451194665199</v>
      </c>
      <c r="AA28" s="167">
        <v>238.32874637875585</v>
      </c>
      <c r="AB28" s="167">
        <v>228.37183217266855</v>
      </c>
      <c r="AC28" s="167">
        <v>248.89359654180865</v>
      </c>
      <c r="AD28" s="167">
        <v>254.12198735014783</v>
      </c>
      <c r="AE28" s="167">
        <v>255.3825516769426</v>
      </c>
      <c r="AF28" s="167">
        <v>250.76018458136514</v>
      </c>
      <c r="AG28" s="167">
        <v>252.2023281438118</v>
      </c>
      <c r="AH28" s="167">
        <v>228.23422970750028</v>
      </c>
      <c r="AI28" s="167">
        <v>223.53293846747241</v>
      </c>
      <c r="AJ28" s="167">
        <v>235.47696302960284</v>
      </c>
      <c r="AK28" s="167">
        <v>228.38411639133733</v>
      </c>
      <c r="AL28" s="167">
        <v>218.4864041703311</v>
      </c>
    </row>
    <row r="29" spans="2:38" s="150" customFormat="1" ht="18.75" customHeight="1">
      <c r="B29" s="19" t="s">
        <v>6</v>
      </c>
      <c r="C29" s="159" t="s">
        <v>201</v>
      </c>
      <c r="D29" s="168">
        <v>19.734808451270354</v>
      </c>
      <c r="E29" s="168">
        <v>18.027666712752119</v>
      </c>
      <c r="F29" s="168">
        <v>16.907688076245574</v>
      </c>
      <c r="G29" s="168">
        <v>15.784323512153486</v>
      </c>
      <c r="H29" s="168">
        <v>14.37647176390762</v>
      </c>
      <c r="I29" s="168">
        <v>13.143015692365376</v>
      </c>
      <c r="J29" s="168">
        <v>12.326456934508066</v>
      </c>
      <c r="K29" s="168">
        <v>8.5104393648433962</v>
      </c>
      <c r="L29" s="168">
        <v>6.3650211594537085</v>
      </c>
      <c r="M29" s="168">
        <v>6.19173733731947</v>
      </c>
      <c r="N29" s="168">
        <v>5.2107884958980213</v>
      </c>
      <c r="O29" s="168">
        <v>3.147090465625642</v>
      </c>
      <c r="P29" s="168">
        <v>1.2760626815413856</v>
      </c>
      <c r="Q29" s="168">
        <v>1.2362350866860532</v>
      </c>
      <c r="R29" s="168">
        <v>1.1597914051406337</v>
      </c>
      <c r="S29" s="168">
        <v>0.99921305092656254</v>
      </c>
      <c r="T29" s="168">
        <v>0.87037316883414806</v>
      </c>
      <c r="U29" s="168">
        <v>0.79084795660605767</v>
      </c>
      <c r="V29" s="168">
        <v>0.74298091282914924</v>
      </c>
      <c r="W29" s="168">
        <v>0.6324045146168924</v>
      </c>
      <c r="X29" s="168">
        <v>0.63781531852821993</v>
      </c>
      <c r="Y29" s="168">
        <v>0.65570859221407096</v>
      </c>
      <c r="Z29" s="168">
        <v>0.50154309654772888</v>
      </c>
      <c r="AA29" s="168">
        <v>0.46939362873693874</v>
      </c>
      <c r="AB29" s="168">
        <v>0.40657939803430382</v>
      </c>
      <c r="AC29" s="168">
        <v>0.39885854463972992</v>
      </c>
      <c r="AD29" s="168">
        <v>0.42293066191988182</v>
      </c>
      <c r="AE29" s="168">
        <v>0.34352977529227358</v>
      </c>
      <c r="AF29" s="168">
        <v>0.28444199985234081</v>
      </c>
      <c r="AG29" s="168">
        <v>0.31674872851245167</v>
      </c>
      <c r="AH29" s="168">
        <v>0.33290497743313074</v>
      </c>
      <c r="AI29" s="168">
        <v>0.33253857739006526</v>
      </c>
      <c r="AJ29" s="168">
        <v>0.29754632489550309</v>
      </c>
      <c r="AK29" s="168">
        <v>0.2768946706849893</v>
      </c>
      <c r="AL29" s="168">
        <v>0.27289300076667461</v>
      </c>
    </row>
    <row r="30" spans="2:38" s="150" customFormat="1" ht="18.75" customHeight="1">
      <c r="B30" s="90" t="s">
        <v>7</v>
      </c>
      <c r="C30" s="160" t="s">
        <v>202</v>
      </c>
      <c r="D30" s="167">
        <v>2.6469681288058404</v>
      </c>
      <c r="E30" s="167">
        <v>2.5583254669545137</v>
      </c>
      <c r="F30" s="167">
        <v>2.6073096865666039</v>
      </c>
      <c r="G30" s="167">
        <v>2.585107553334256</v>
      </c>
      <c r="H30" s="167">
        <v>2.4890310951644805</v>
      </c>
      <c r="I30" s="167">
        <v>2.0995734498902912</v>
      </c>
      <c r="J30" s="167">
        <v>1.943256296882601</v>
      </c>
      <c r="K30" s="167">
        <v>1.6717654350345246</v>
      </c>
      <c r="L30" s="167">
        <v>1.6531195355528774</v>
      </c>
      <c r="M30" s="167">
        <v>1.4749759111142753</v>
      </c>
      <c r="N30" s="167">
        <v>1.4025613856082768</v>
      </c>
      <c r="O30" s="167">
        <v>1.3815246358708146</v>
      </c>
      <c r="P30" s="167">
        <v>1.3196901026721644</v>
      </c>
      <c r="Q30" s="167">
        <v>1.5535076383805573</v>
      </c>
      <c r="R30" s="167">
        <v>1.6370958802448288</v>
      </c>
      <c r="S30" s="167">
        <v>1.7304393033515977</v>
      </c>
      <c r="T30" s="167">
        <v>1.7267274971882027</v>
      </c>
      <c r="U30" s="167">
        <v>1.5649822591494966</v>
      </c>
      <c r="V30" s="167">
        <v>1.6823830406715312</v>
      </c>
      <c r="W30" s="167">
        <v>1.4287540160503085</v>
      </c>
      <c r="X30" s="167">
        <v>1.4919505465639924</v>
      </c>
      <c r="Y30" s="167">
        <v>1.382483178462778</v>
      </c>
      <c r="Z30" s="167">
        <v>1.5243685951738899</v>
      </c>
      <c r="AA30" s="167">
        <v>1.3499925914517186</v>
      </c>
      <c r="AB30" s="167">
        <v>1.7075888396179273</v>
      </c>
      <c r="AC30" s="167">
        <v>1.7433367775099118</v>
      </c>
      <c r="AD30" s="167">
        <v>2.4871421359318053</v>
      </c>
      <c r="AE30" s="167">
        <v>2.3700385671589044</v>
      </c>
      <c r="AF30" s="167">
        <v>4.9122991827568772</v>
      </c>
      <c r="AG30" s="167">
        <v>4.1116616474321352</v>
      </c>
      <c r="AH30" s="167">
        <v>6.3032525106550068</v>
      </c>
      <c r="AI30" s="167">
        <v>5.8771724197657527</v>
      </c>
      <c r="AJ30" s="167">
        <v>9.7770758131214315</v>
      </c>
      <c r="AK30" s="167">
        <v>7.2860844017236488</v>
      </c>
      <c r="AL30" s="167">
        <v>7.2957306132574118</v>
      </c>
    </row>
    <row r="31" spans="2:38" s="150" customFormat="1" ht="18.75" customHeight="1">
      <c r="B31" s="19"/>
      <c r="C31" s="159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</row>
    <row r="32" spans="2:38" s="10" customFormat="1" ht="18.75" customHeight="1">
      <c r="B32" s="153" t="s">
        <v>15</v>
      </c>
      <c r="C32" s="22" t="s">
        <v>3</v>
      </c>
      <c r="D32" s="165">
        <f>SUMIF(D33:D40,"&lt;1E+307")</f>
        <v>46060.595068045695</v>
      </c>
      <c r="E32" s="165">
        <f t="shared" ref="E32:AG32" si="23">SUMIF(E33:E40,"&lt;1E+307")</f>
        <v>41033.76219868222</v>
      </c>
      <c r="F32" s="165">
        <f t="shared" si="23"/>
        <v>40287.956431526865</v>
      </c>
      <c r="G32" s="165">
        <f t="shared" si="23"/>
        <v>40444.014501243728</v>
      </c>
      <c r="H32" s="165">
        <f t="shared" si="23"/>
        <v>40674.863529746006</v>
      </c>
      <c r="I32" s="165">
        <f t="shared" si="23"/>
        <v>40830.127150710709</v>
      </c>
      <c r="J32" s="165">
        <f t="shared" si="23"/>
        <v>40976.151965253761</v>
      </c>
      <c r="K32" s="165">
        <f t="shared" si="23"/>
        <v>39925.293974720807</v>
      </c>
      <c r="L32" s="165">
        <f t="shared" si="23"/>
        <v>39872.576845570147</v>
      </c>
      <c r="M32" s="165">
        <f t="shared" si="23"/>
        <v>39563.677855317394</v>
      </c>
      <c r="N32" s="165">
        <f t="shared" si="23"/>
        <v>39020.3440496892</v>
      </c>
      <c r="O32" s="165">
        <f t="shared" si="23"/>
        <v>39604.434839231712</v>
      </c>
      <c r="P32" s="165">
        <f t="shared" si="23"/>
        <v>38209.387206128427</v>
      </c>
      <c r="Q32" s="165">
        <f t="shared" si="23"/>
        <v>37887.923201481215</v>
      </c>
      <c r="R32" s="165">
        <f t="shared" si="23"/>
        <v>36836.297948940679</v>
      </c>
      <c r="S32" s="165">
        <f t="shared" si="23"/>
        <v>36699.048909401885</v>
      </c>
      <c r="T32" s="165">
        <f t="shared" si="23"/>
        <v>36049.585611652918</v>
      </c>
      <c r="U32" s="165">
        <f t="shared" si="23"/>
        <v>36318.1755257779</v>
      </c>
      <c r="V32" s="165">
        <f t="shared" si="23"/>
        <v>36544.156317133922</v>
      </c>
      <c r="W32" s="165">
        <f t="shared" si="23"/>
        <v>36676.377215837099</v>
      </c>
      <c r="X32" s="165">
        <f t="shared" si="23"/>
        <v>36438.456003109131</v>
      </c>
      <c r="Y32" s="165">
        <f t="shared" si="23"/>
        <v>36237.924882932231</v>
      </c>
      <c r="Z32" s="165">
        <f t="shared" si="23"/>
        <v>36426.310688325895</v>
      </c>
      <c r="AA32" s="165">
        <f t="shared" si="23"/>
        <v>37078.003268666966</v>
      </c>
      <c r="AB32" s="165">
        <f t="shared" si="23"/>
        <v>37511.582264573903</v>
      </c>
      <c r="AC32" s="165">
        <f t="shared" si="23"/>
        <v>37549.659415294554</v>
      </c>
      <c r="AD32" s="165">
        <f t="shared" si="23"/>
        <v>37277.378998253109</v>
      </c>
      <c r="AE32" s="165">
        <f t="shared" si="23"/>
        <v>37079.420175856358</v>
      </c>
      <c r="AF32" s="165">
        <f t="shared" si="23"/>
        <v>36548.500548034004</v>
      </c>
      <c r="AG32" s="165">
        <f t="shared" si="23"/>
        <v>36222.033130386502</v>
      </c>
      <c r="AH32" s="165">
        <f t="shared" ref="AH32" si="24">SUMIF(AH33:AH40,"&lt;1E+307")</f>
        <v>35763.151013669085</v>
      </c>
      <c r="AI32" s="165">
        <f t="shared" ref="AI32" si="25">SUMIF(AI33:AI40,"&lt;1E+307")</f>
        <v>34882.801026212706</v>
      </c>
      <c r="AJ32" s="165">
        <f t="shared" ref="AJ32:AK32" si="26">SUMIF(AJ33:AJ40,"&lt;1E+307")</f>
        <v>34411.160380257897</v>
      </c>
      <c r="AK32" s="165">
        <f t="shared" si="26"/>
        <v>34248.875465319041</v>
      </c>
      <c r="AL32" s="165">
        <f t="shared" ref="AL32" si="27">SUMIF(AL33:AL40,"&lt;1E+307")</f>
        <v>33378.652724978157</v>
      </c>
    </row>
    <row r="33" spans="2:38" s="150" customFormat="1" ht="18.75" customHeight="1">
      <c r="B33" s="19" t="s">
        <v>18</v>
      </c>
      <c r="C33" s="159" t="s">
        <v>203</v>
      </c>
      <c r="D33" s="168">
        <v>272.15710103148723</v>
      </c>
      <c r="E33" s="168">
        <v>110.67527621990904</v>
      </c>
      <c r="F33" s="168">
        <v>80.361727547501076</v>
      </c>
      <c r="G33" s="168">
        <v>78.040278153407627</v>
      </c>
      <c r="H33" s="168">
        <v>62.920589141398381</v>
      </c>
      <c r="I33" s="168">
        <v>74.553475127444926</v>
      </c>
      <c r="J33" s="168">
        <v>71.362068889034191</v>
      </c>
      <c r="K33" s="168">
        <v>71.929881060503178</v>
      </c>
      <c r="L33" s="168">
        <v>67.113384534549994</v>
      </c>
      <c r="M33" s="168">
        <v>64.189595881701919</v>
      </c>
      <c r="N33" s="168">
        <v>71.058955158577376</v>
      </c>
      <c r="O33" s="168">
        <v>63.292602603085413</v>
      </c>
      <c r="P33" s="168">
        <v>62.702789592166354</v>
      </c>
      <c r="Q33" s="168">
        <v>54.001533632183367</v>
      </c>
      <c r="R33" s="168">
        <v>55.416721252384605</v>
      </c>
      <c r="S33" s="168">
        <v>60.322649976238914</v>
      </c>
      <c r="T33" s="168">
        <v>71.991928942195941</v>
      </c>
      <c r="U33" s="168">
        <v>104.47892443057049</v>
      </c>
      <c r="V33" s="168">
        <v>96.379702625110355</v>
      </c>
      <c r="W33" s="168">
        <v>103.20198182787841</v>
      </c>
      <c r="X33" s="168">
        <v>152.65672865381441</v>
      </c>
      <c r="Y33" s="168">
        <v>162.58016122366234</v>
      </c>
      <c r="Z33" s="168">
        <v>159.4301916653221</v>
      </c>
      <c r="AA33" s="168">
        <v>164.98555516593839</v>
      </c>
      <c r="AB33" s="168">
        <v>181.33027142157806</v>
      </c>
      <c r="AC33" s="168">
        <v>195.95711388928603</v>
      </c>
      <c r="AD33" s="168">
        <v>203.16883241992977</v>
      </c>
      <c r="AE33" s="168">
        <v>212.11447684232382</v>
      </c>
      <c r="AF33" s="168">
        <v>202.28595248731989</v>
      </c>
      <c r="AG33" s="168">
        <v>204.19883794182905</v>
      </c>
      <c r="AH33" s="168">
        <v>211.26239132152199</v>
      </c>
      <c r="AI33" s="168">
        <v>216.28419695442201</v>
      </c>
      <c r="AJ33" s="168">
        <v>218.98614603271844</v>
      </c>
      <c r="AK33" s="168">
        <v>208.82806096628761</v>
      </c>
      <c r="AL33" s="168">
        <v>214.09762754497999</v>
      </c>
    </row>
    <row r="34" spans="2:38" s="150" customFormat="1" ht="18.75" customHeight="1">
      <c r="B34" s="90" t="s">
        <v>30</v>
      </c>
      <c r="C34" s="160" t="s">
        <v>204</v>
      </c>
      <c r="D34" s="167">
        <v>37303.914802847081</v>
      </c>
      <c r="E34" s="167">
        <v>33328.260531744461</v>
      </c>
      <c r="F34" s="167">
        <v>32538.245783668699</v>
      </c>
      <c r="G34" s="167">
        <v>32621.602637011169</v>
      </c>
      <c r="H34" s="167">
        <v>32828.005957647722</v>
      </c>
      <c r="I34" s="167">
        <v>32927.885289260135</v>
      </c>
      <c r="J34" s="167">
        <v>32980.732675817875</v>
      </c>
      <c r="K34" s="167">
        <v>32019.170685648467</v>
      </c>
      <c r="L34" s="167">
        <v>31795.772415043306</v>
      </c>
      <c r="M34" s="167">
        <v>31532.817306550445</v>
      </c>
      <c r="N34" s="167">
        <v>31026.263074050479</v>
      </c>
      <c r="O34" s="167">
        <v>31506.855002072763</v>
      </c>
      <c r="P34" s="167">
        <v>30295.985731345198</v>
      </c>
      <c r="Q34" s="167">
        <v>29938.653577526013</v>
      </c>
      <c r="R34" s="167">
        <v>29120.161712349742</v>
      </c>
      <c r="S34" s="167">
        <v>28923.591925626457</v>
      </c>
      <c r="T34" s="167">
        <v>28357.040568186203</v>
      </c>
      <c r="U34" s="167">
        <v>28475.368800870569</v>
      </c>
      <c r="V34" s="167">
        <v>28705.273903710211</v>
      </c>
      <c r="W34" s="167">
        <v>28713.935380398449</v>
      </c>
      <c r="X34" s="167">
        <v>28532.471207403931</v>
      </c>
      <c r="Y34" s="167">
        <v>28155.945314903871</v>
      </c>
      <c r="Z34" s="167">
        <v>28163.273131963608</v>
      </c>
      <c r="AA34" s="167">
        <v>28507.578627677041</v>
      </c>
      <c r="AB34" s="167">
        <v>28742.703133701893</v>
      </c>
      <c r="AC34" s="167">
        <v>28721.441281620329</v>
      </c>
      <c r="AD34" s="167">
        <v>28434.003751455799</v>
      </c>
      <c r="AE34" s="167">
        <v>28215.544219039035</v>
      </c>
      <c r="AF34" s="167">
        <v>27790.150005689931</v>
      </c>
      <c r="AG34" s="167">
        <v>27476.871225137456</v>
      </c>
      <c r="AH34" s="167">
        <v>27062.517695443501</v>
      </c>
      <c r="AI34" s="167">
        <v>26548.185404291231</v>
      </c>
      <c r="AJ34" s="167">
        <v>26305.697604082899</v>
      </c>
      <c r="AK34" s="167">
        <v>26179.433515408502</v>
      </c>
      <c r="AL34" s="167">
        <v>25421.809326975046</v>
      </c>
    </row>
    <row r="35" spans="2:38" s="150" customFormat="1" ht="18.75" customHeight="1">
      <c r="B35" s="19" t="s">
        <v>31</v>
      </c>
      <c r="C35" s="159" t="s">
        <v>205</v>
      </c>
      <c r="D35" s="168">
        <v>8484.2096577186185</v>
      </c>
      <c r="E35" s="168">
        <v>7594.0671091401309</v>
      </c>
      <c r="F35" s="168">
        <v>7668.3244866076575</v>
      </c>
      <c r="G35" s="168">
        <v>7743.0390586035237</v>
      </c>
      <c r="H35" s="168">
        <v>7782.29808389557</v>
      </c>
      <c r="I35" s="168">
        <v>7823.7129462883286</v>
      </c>
      <c r="J35" s="168">
        <v>7917.4499391484587</v>
      </c>
      <c r="K35" s="168">
        <v>7825.8475574303829</v>
      </c>
      <c r="L35" s="168">
        <v>7990.8559697261544</v>
      </c>
      <c r="M35" s="168">
        <v>7945.2680029449411</v>
      </c>
      <c r="N35" s="168">
        <v>7889.0479689031863</v>
      </c>
      <c r="O35" s="168">
        <v>7986.076090515794</v>
      </c>
      <c r="P35" s="168">
        <v>7781.4019654837675</v>
      </c>
      <c r="Q35" s="168">
        <v>7813.3522110274926</v>
      </c>
      <c r="R35" s="168">
        <v>7554.7300611122919</v>
      </c>
      <c r="S35" s="168">
        <v>7433.8915909326379</v>
      </c>
      <c r="T35" s="168">
        <v>7232.2202254749827</v>
      </c>
      <c r="U35" s="168">
        <v>7216.4389323353316</v>
      </c>
      <c r="V35" s="168">
        <v>7143.9026351333041</v>
      </c>
      <c r="W35" s="168">
        <v>7104.0456342668376</v>
      </c>
      <c r="X35" s="168">
        <v>6819.2086862730084</v>
      </c>
      <c r="Y35" s="168">
        <v>6774.7656319313901</v>
      </c>
      <c r="Z35" s="168">
        <v>6901.0080667737775</v>
      </c>
      <c r="AA35" s="168">
        <v>6957.4259741856995</v>
      </c>
      <c r="AB35" s="168">
        <v>7082.5307646344118</v>
      </c>
      <c r="AC35" s="168">
        <v>7079.7058168293333</v>
      </c>
      <c r="AD35" s="168">
        <v>7106.7439148846661</v>
      </c>
      <c r="AE35" s="168">
        <v>7153.2102683433013</v>
      </c>
      <c r="AF35" s="168">
        <v>7089.7628116907435</v>
      </c>
      <c r="AG35" s="168">
        <v>7095.0069225479629</v>
      </c>
      <c r="AH35" s="168">
        <v>7033.3998950439354</v>
      </c>
      <c r="AI35" s="168">
        <v>6711.37628651453</v>
      </c>
      <c r="AJ35" s="168">
        <v>6371.9973487413845</v>
      </c>
      <c r="AK35" s="168">
        <v>6346.1346075433612</v>
      </c>
      <c r="AL35" s="168">
        <v>6228.2664890572405</v>
      </c>
    </row>
    <row r="36" spans="2:38" s="150" customFormat="1" ht="18.75" customHeight="1">
      <c r="B36" s="90" t="s">
        <v>32</v>
      </c>
      <c r="C36" s="160" t="s">
        <v>206</v>
      </c>
      <c r="D36" s="167">
        <v>0</v>
      </c>
      <c r="E36" s="167">
        <v>0</v>
      </c>
      <c r="F36" s="167">
        <v>0</v>
      </c>
      <c r="G36" s="167">
        <v>0</v>
      </c>
      <c r="H36" s="167">
        <v>0</v>
      </c>
      <c r="I36" s="167">
        <v>0</v>
      </c>
      <c r="J36" s="167">
        <v>0</v>
      </c>
      <c r="K36" s="167">
        <v>0</v>
      </c>
      <c r="L36" s="167">
        <v>0</v>
      </c>
      <c r="M36" s="167">
        <v>0</v>
      </c>
      <c r="N36" s="167">
        <v>0</v>
      </c>
      <c r="O36" s="167">
        <v>0</v>
      </c>
      <c r="P36" s="167">
        <v>0</v>
      </c>
      <c r="Q36" s="167">
        <v>0</v>
      </c>
      <c r="R36" s="167">
        <v>0</v>
      </c>
      <c r="S36" s="167">
        <v>0</v>
      </c>
      <c r="T36" s="167">
        <v>0</v>
      </c>
      <c r="U36" s="167">
        <v>0</v>
      </c>
      <c r="V36" s="167">
        <v>0</v>
      </c>
      <c r="W36" s="167">
        <v>0</v>
      </c>
      <c r="X36" s="167">
        <v>0</v>
      </c>
      <c r="Y36" s="167">
        <v>0</v>
      </c>
      <c r="Z36" s="167">
        <v>0</v>
      </c>
      <c r="AA36" s="167">
        <v>0</v>
      </c>
      <c r="AB36" s="167">
        <v>0</v>
      </c>
      <c r="AC36" s="167">
        <v>0</v>
      </c>
      <c r="AD36" s="167">
        <v>0</v>
      </c>
      <c r="AE36" s="167">
        <v>0</v>
      </c>
      <c r="AF36" s="167">
        <v>0</v>
      </c>
      <c r="AG36" s="167">
        <v>0</v>
      </c>
      <c r="AH36" s="167">
        <v>0</v>
      </c>
      <c r="AI36" s="167">
        <v>0</v>
      </c>
      <c r="AJ36" s="167">
        <v>0</v>
      </c>
      <c r="AK36" s="167">
        <v>0</v>
      </c>
      <c r="AL36" s="167">
        <v>0</v>
      </c>
    </row>
    <row r="37" spans="2:38" s="150" customFormat="1" ht="18.75" customHeight="1">
      <c r="B37" s="19" t="s">
        <v>33</v>
      </c>
      <c r="C37" s="159" t="s">
        <v>207</v>
      </c>
      <c r="D37" s="168">
        <v>0</v>
      </c>
      <c r="E37" s="168">
        <v>0</v>
      </c>
      <c r="F37" s="168">
        <v>0</v>
      </c>
      <c r="G37" s="168">
        <v>0</v>
      </c>
      <c r="H37" s="168">
        <v>0</v>
      </c>
      <c r="I37" s="168">
        <v>0</v>
      </c>
      <c r="J37" s="168">
        <v>0</v>
      </c>
      <c r="K37" s="168">
        <v>0</v>
      </c>
      <c r="L37" s="168">
        <v>0</v>
      </c>
      <c r="M37" s="168">
        <v>0</v>
      </c>
      <c r="N37" s="168">
        <v>0</v>
      </c>
      <c r="O37" s="168">
        <v>0</v>
      </c>
      <c r="P37" s="168">
        <v>0</v>
      </c>
      <c r="Q37" s="168">
        <v>0</v>
      </c>
      <c r="R37" s="168">
        <v>0</v>
      </c>
      <c r="S37" s="168">
        <v>0</v>
      </c>
      <c r="T37" s="168">
        <v>0</v>
      </c>
      <c r="U37" s="168">
        <v>0</v>
      </c>
      <c r="V37" s="168">
        <v>0</v>
      </c>
      <c r="W37" s="168">
        <v>0</v>
      </c>
      <c r="X37" s="168">
        <v>0</v>
      </c>
      <c r="Y37" s="168">
        <v>0</v>
      </c>
      <c r="Z37" s="168">
        <v>0</v>
      </c>
      <c r="AA37" s="168">
        <v>0</v>
      </c>
      <c r="AB37" s="168">
        <v>0</v>
      </c>
      <c r="AC37" s="168">
        <v>0</v>
      </c>
      <c r="AD37" s="168">
        <v>0</v>
      </c>
      <c r="AE37" s="168">
        <v>0</v>
      </c>
      <c r="AF37" s="168">
        <v>0</v>
      </c>
      <c r="AG37" s="168">
        <v>0</v>
      </c>
      <c r="AH37" s="168">
        <v>0</v>
      </c>
      <c r="AI37" s="168">
        <v>0</v>
      </c>
      <c r="AJ37" s="168">
        <v>0</v>
      </c>
      <c r="AK37" s="168">
        <v>0</v>
      </c>
      <c r="AL37" s="168">
        <v>0</v>
      </c>
    </row>
    <row r="38" spans="2:38" s="150" customFormat="1" ht="18.75" customHeight="1">
      <c r="B38" s="90" t="s">
        <v>34</v>
      </c>
      <c r="C38" s="160" t="s">
        <v>208</v>
      </c>
      <c r="D38" s="167">
        <v>0</v>
      </c>
      <c r="E38" s="167">
        <v>0</v>
      </c>
      <c r="F38" s="167">
        <v>0</v>
      </c>
      <c r="G38" s="167">
        <v>0</v>
      </c>
      <c r="H38" s="167">
        <v>0</v>
      </c>
      <c r="I38" s="167">
        <v>0</v>
      </c>
      <c r="J38" s="167">
        <v>0</v>
      </c>
      <c r="K38" s="167">
        <v>0</v>
      </c>
      <c r="L38" s="167">
        <v>0</v>
      </c>
      <c r="M38" s="167">
        <v>0</v>
      </c>
      <c r="N38" s="167">
        <v>0</v>
      </c>
      <c r="O38" s="167">
        <v>0</v>
      </c>
      <c r="P38" s="167">
        <v>0</v>
      </c>
      <c r="Q38" s="167">
        <v>0</v>
      </c>
      <c r="R38" s="167">
        <v>0</v>
      </c>
      <c r="S38" s="167">
        <v>0</v>
      </c>
      <c r="T38" s="167">
        <v>0</v>
      </c>
      <c r="U38" s="167">
        <v>0</v>
      </c>
      <c r="V38" s="167">
        <v>0</v>
      </c>
      <c r="W38" s="167">
        <v>0</v>
      </c>
      <c r="X38" s="167">
        <v>0</v>
      </c>
      <c r="Y38" s="167">
        <v>0</v>
      </c>
      <c r="Z38" s="167">
        <v>0</v>
      </c>
      <c r="AA38" s="167">
        <v>0</v>
      </c>
      <c r="AB38" s="167">
        <v>0</v>
      </c>
      <c r="AC38" s="167">
        <v>0</v>
      </c>
      <c r="AD38" s="167">
        <v>0</v>
      </c>
      <c r="AE38" s="167">
        <v>0</v>
      </c>
      <c r="AF38" s="167">
        <v>0</v>
      </c>
      <c r="AG38" s="167">
        <v>0</v>
      </c>
      <c r="AH38" s="167">
        <v>0</v>
      </c>
      <c r="AI38" s="167">
        <v>0</v>
      </c>
      <c r="AJ38" s="167">
        <v>0</v>
      </c>
      <c r="AK38" s="167">
        <v>0</v>
      </c>
      <c r="AL38" s="167">
        <v>0</v>
      </c>
    </row>
    <row r="39" spans="2:38" s="150" customFormat="1" ht="18.75" customHeight="1">
      <c r="B39" s="19" t="s">
        <v>35</v>
      </c>
      <c r="C39" s="159" t="s">
        <v>209</v>
      </c>
      <c r="D39" s="168">
        <v>0</v>
      </c>
      <c r="E39" s="168">
        <v>0</v>
      </c>
      <c r="F39" s="168">
        <v>0</v>
      </c>
      <c r="G39" s="168">
        <v>0</v>
      </c>
      <c r="H39" s="168">
        <v>0</v>
      </c>
      <c r="I39" s="168">
        <v>0</v>
      </c>
      <c r="J39" s="168">
        <v>0</v>
      </c>
      <c r="K39" s="168">
        <v>0</v>
      </c>
      <c r="L39" s="168">
        <v>0</v>
      </c>
      <c r="M39" s="168">
        <v>0</v>
      </c>
      <c r="N39" s="168">
        <v>0</v>
      </c>
      <c r="O39" s="168">
        <v>0</v>
      </c>
      <c r="P39" s="168">
        <v>0</v>
      </c>
      <c r="Q39" s="168">
        <v>0</v>
      </c>
      <c r="R39" s="168">
        <v>0</v>
      </c>
      <c r="S39" s="168">
        <v>0</v>
      </c>
      <c r="T39" s="168">
        <v>0</v>
      </c>
      <c r="U39" s="168">
        <v>0</v>
      </c>
      <c r="V39" s="168">
        <v>0</v>
      </c>
      <c r="W39" s="168">
        <v>0</v>
      </c>
      <c r="X39" s="168">
        <v>0</v>
      </c>
      <c r="Y39" s="168">
        <v>0</v>
      </c>
      <c r="Z39" s="168">
        <v>0</v>
      </c>
      <c r="AA39" s="168">
        <v>0</v>
      </c>
      <c r="AB39" s="168">
        <v>0</v>
      </c>
      <c r="AC39" s="168">
        <v>0</v>
      </c>
      <c r="AD39" s="168">
        <v>0</v>
      </c>
      <c r="AE39" s="168">
        <v>0</v>
      </c>
      <c r="AF39" s="168">
        <v>0</v>
      </c>
      <c r="AG39" s="168">
        <v>0</v>
      </c>
      <c r="AH39" s="168">
        <v>0</v>
      </c>
      <c r="AI39" s="168">
        <v>0</v>
      </c>
      <c r="AJ39" s="168">
        <v>0</v>
      </c>
      <c r="AK39" s="168">
        <v>0</v>
      </c>
      <c r="AL39" s="168">
        <v>0</v>
      </c>
    </row>
    <row r="40" spans="2:38" s="150" customFormat="1" ht="18.75" customHeight="1">
      <c r="B40" s="90" t="s">
        <v>36</v>
      </c>
      <c r="C40" s="160" t="s">
        <v>210</v>
      </c>
      <c r="D40" s="167">
        <v>0.31350644850819803</v>
      </c>
      <c r="E40" s="167">
        <v>0.7592815777168036</v>
      </c>
      <c r="F40" s="167">
        <v>1.0244337030112247</v>
      </c>
      <c r="G40" s="167">
        <v>1.3325274756284982</v>
      </c>
      <c r="H40" s="167">
        <v>1.6388990613206273</v>
      </c>
      <c r="I40" s="167">
        <v>3.975440034795116</v>
      </c>
      <c r="J40" s="167">
        <v>6.60728139839253</v>
      </c>
      <c r="K40" s="167">
        <v>8.3458505814580768</v>
      </c>
      <c r="L40" s="167">
        <v>18.83507626613471</v>
      </c>
      <c r="M40" s="167">
        <v>21.402949940303682</v>
      </c>
      <c r="N40" s="167">
        <v>33.974051576955837</v>
      </c>
      <c r="O40" s="167">
        <v>48.21114404006601</v>
      </c>
      <c r="P40" s="167">
        <v>69.296719707293136</v>
      </c>
      <c r="Q40" s="167">
        <v>81.915879295530033</v>
      </c>
      <c r="R40" s="167">
        <v>105.98945422625393</v>
      </c>
      <c r="S40" s="167">
        <v>281.24274286655304</v>
      </c>
      <c r="T40" s="167">
        <v>388.33288904953463</v>
      </c>
      <c r="U40" s="167">
        <v>521.88886814142177</v>
      </c>
      <c r="V40" s="167">
        <v>598.60007566529964</v>
      </c>
      <c r="W40" s="167">
        <v>755.19421934393256</v>
      </c>
      <c r="X40" s="167">
        <v>934.11938077837794</v>
      </c>
      <c r="Y40" s="167">
        <v>1144.6337748733069</v>
      </c>
      <c r="Z40" s="167">
        <v>1202.5992979231867</v>
      </c>
      <c r="AA40" s="167">
        <v>1448.013111638285</v>
      </c>
      <c r="AB40" s="167">
        <v>1505.0180948160164</v>
      </c>
      <c r="AC40" s="167">
        <v>1552.5552029556052</v>
      </c>
      <c r="AD40" s="167">
        <v>1533.4624994927153</v>
      </c>
      <c r="AE40" s="167">
        <v>1498.5512116316934</v>
      </c>
      <c r="AF40" s="167">
        <v>1466.3017781660121</v>
      </c>
      <c r="AG40" s="167">
        <v>1445.9561447592584</v>
      </c>
      <c r="AH40" s="167">
        <v>1455.9710318601303</v>
      </c>
      <c r="AI40" s="167">
        <v>1406.9551384525232</v>
      </c>
      <c r="AJ40" s="167">
        <v>1514.4792814008892</v>
      </c>
      <c r="AK40" s="167">
        <v>1514.4792814008892</v>
      </c>
      <c r="AL40" s="167">
        <v>1514.4792814008892</v>
      </c>
    </row>
    <row r="41" spans="2:38" s="150" customFormat="1" ht="18.75" customHeight="1">
      <c r="B41" s="19"/>
      <c r="C41" s="159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</row>
    <row r="42" spans="2:38" s="10" customFormat="1" ht="18.75" customHeight="1">
      <c r="B42" s="153" t="s">
        <v>16</v>
      </c>
      <c r="C42" s="22" t="s">
        <v>3</v>
      </c>
      <c r="D42" s="165">
        <f>SUMIF(D43:D46,"&lt;1E+307")</f>
        <v>40986.660012860521</v>
      </c>
      <c r="E42" s="165">
        <f t="shared" ref="E42:AE42" si="28">SUMIF(E43:E46,"&lt;1E+307")</f>
        <v>42457.743805095663</v>
      </c>
      <c r="F42" s="165">
        <f t="shared" si="28"/>
        <v>42973.46001482608</v>
      </c>
      <c r="G42" s="165">
        <f t="shared" si="28"/>
        <v>42621.729665858264</v>
      </c>
      <c r="H42" s="165">
        <f t="shared" si="28"/>
        <v>41466.068757638066</v>
      </c>
      <c r="I42" s="165">
        <f t="shared" si="28"/>
        <v>40116.519302063723</v>
      </c>
      <c r="J42" s="165">
        <f t="shared" si="28"/>
        <v>38240.576667992056</v>
      </c>
      <c r="K42" s="165">
        <f t="shared" si="28"/>
        <v>34862.185499923959</v>
      </c>
      <c r="L42" s="165">
        <f t="shared" si="28"/>
        <v>32258.385046530602</v>
      </c>
      <c r="M42" s="165">
        <f t="shared" si="28"/>
        <v>30212.705833382566</v>
      </c>
      <c r="N42" s="165">
        <f t="shared" si="28"/>
        <v>28275.628688611985</v>
      </c>
      <c r="O42" s="165">
        <f t="shared" si="28"/>
        <v>26241.457215665756</v>
      </c>
      <c r="P42" s="165">
        <f t="shared" si="28"/>
        <v>24483.299207932192</v>
      </c>
      <c r="Q42" s="165">
        <f t="shared" si="28"/>
        <v>22687.929094147912</v>
      </c>
      <c r="R42" s="165">
        <f t="shared" si="28"/>
        <v>20095.728127259274</v>
      </c>
      <c r="S42" s="165">
        <f t="shared" si="28"/>
        <v>18328.858407935997</v>
      </c>
      <c r="T42" s="165">
        <f t="shared" si="28"/>
        <v>16449.164778805458</v>
      </c>
      <c r="U42" s="165">
        <f t="shared" si="28"/>
        <v>14911.978955642739</v>
      </c>
      <c r="V42" s="165">
        <f t="shared" si="28"/>
        <v>13513.780822829804</v>
      </c>
      <c r="W42" s="165">
        <f t="shared" si="28"/>
        <v>12114.886785256107</v>
      </c>
      <c r="X42" s="165">
        <f t="shared" si="28"/>
        <v>10859.685332250696</v>
      </c>
      <c r="Y42" s="165">
        <f t="shared" si="28"/>
        <v>9960.6523771278626</v>
      </c>
      <c r="Z42" s="165">
        <f t="shared" si="28"/>
        <v>9130.0633667210877</v>
      </c>
      <c r="AA42" s="165">
        <f t="shared" si="28"/>
        <v>8334.5803925747532</v>
      </c>
      <c r="AB42" s="165">
        <f t="shared" si="28"/>
        <v>7700.4109174880259</v>
      </c>
      <c r="AC42" s="165">
        <f t="shared" si="28"/>
        <v>7078.853902450036</v>
      </c>
      <c r="AD42" s="165">
        <f t="shared" si="28"/>
        <v>6538.8718600063248</v>
      </c>
      <c r="AE42" s="165">
        <f t="shared" si="28"/>
        <v>6151.698186198194</v>
      </c>
      <c r="AF42" s="165">
        <f t="shared" ref="AF42:AG42" si="29">SUMIF(AF43:AF46,"&lt;1E+307")</f>
        <v>5761.9510082378811</v>
      </c>
      <c r="AG42" s="165">
        <f t="shared" si="29"/>
        <v>5231.5802101039062</v>
      </c>
      <c r="AH42" s="165">
        <f t="shared" ref="AH42" si="30">SUMIF(AH43:AH46,"&lt;1E+307")</f>
        <v>4744.9449568754462</v>
      </c>
      <c r="AI42" s="165">
        <f t="shared" ref="AI42" si="31">SUMIF(AI43:AI46,"&lt;1E+307")</f>
        <v>4527.0978264336009</v>
      </c>
      <c r="AJ42" s="165">
        <f t="shared" ref="AJ42:AK42" si="32">SUMIF(AJ43:AJ46,"&lt;1E+307")</f>
        <v>4273.7468501880958</v>
      </c>
      <c r="AK42" s="165">
        <f t="shared" si="32"/>
        <v>4110.853753987295</v>
      </c>
      <c r="AL42" s="165">
        <f t="shared" ref="AL42" si="33">SUMIF(AL43:AL46,"&lt;1E+307")</f>
        <v>3970.9086915799071</v>
      </c>
    </row>
    <row r="43" spans="2:38" s="150" customFormat="1" ht="18.75" customHeight="1">
      <c r="B43" s="19" t="s">
        <v>19</v>
      </c>
      <c r="C43" s="159" t="s">
        <v>211</v>
      </c>
      <c r="D43" s="168">
        <v>37191.252</v>
      </c>
      <c r="E43" s="168">
        <v>39322.5</v>
      </c>
      <c r="F43" s="168">
        <v>40268.116000000002</v>
      </c>
      <c r="G43" s="168">
        <v>40154.239999999998</v>
      </c>
      <c r="H43" s="168">
        <v>39212.824000000001</v>
      </c>
      <c r="I43" s="168">
        <v>37857.175999999999</v>
      </c>
      <c r="J43" s="168">
        <v>36060.023999999998</v>
      </c>
      <c r="K43" s="168">
        <v>32792.06</v>
      </c>
      <c r="L43" s="168">
        <v>30293.144</v>
      </c>
      <c r="M43" s="168">
        <v>28232.763999999999</v>
      </c>
      <c r="N43" s="168">
        <v>26271.559999999998</v>
      </c>
      <c r="O43" s="168">
        <v>24258.471999999998</v>
      </c>
      <c r="P43" s="168">
        <v>22439.396000000001</v>
      </c>
      <c r="Q43" s="168">
        <v>20668.2</v>
      </c>
      <c r="R43" s="168">
        <v>18093.683999999997</v>
      </c>
      <c r="S43" s="168">
        <v>16360.596</v>
      </c>
      <c r="T43" s="168">
        <v>14511.195999999998</v>
      </c>
      <c r="U43" s="168">
        <v>12969.46</v>
      </c>
      <c r="V43" s="168">
        <v>11613.616</v>
      </c>
      <c r="W43" s="168">
        <v>10232.348</v>
      </c>
      <c r="X43" s="168">
        <v>9015.1880000000001</v>
      </c>
      <c r="Y43" s="168">
        <v>8067.5279999999993</v>
      </c>
      <c r="Z43" s="168">
        <v>7233.2399999999989</v>
      </c>
      <c r="AA43" s="168">
        <v>6471.2479999999996</v>
      </c>
      <c r="AB43" s="168">
        <v>5796.616</v>
      </c>
      <c r="AC43" s="168">
        <v>5191.8440000000001</v>
      </c>
      <c r="AD43" s="168">
        <v>4657.1840000000002</v>
      </c>
      <c r="AE43" s="168">
        <v>4284.1399999999994</v>
      </c>
      <c r="AF43" s="168">
        <v>3944.5839999999998</v>
      </c>
      <c r="AG43" s="168">
        <v>3426.7239999999997</v>
      </c>
      <c r="AH43" s="168">
        <v>2973.096</v>
      </c>
      <c r="AI43" s="168">
        <v>2685.5079999999998</v>
      </c>
      <c r="AJ43" s="168">
        <v>2431.9007999999999</v>
      </c>
      <c r="AK43" s="168">
        <v>2245.1295999999998</v>
      </c>
      <c r="AL43" s="168">
        <v>2072.4760000000001</v>
      </c>
    </row>
    <row r="44" spans="2:38" s="150" customFormat="1" ht="18.75" customHeight="1">
      <c r="B44" s="90" t="s">
        <v>74</v>
      </c>
      <c r="C44" s="160" t="s">
        <v>212</v>
      </c>
      <c r="D44" s="167">
        <v>59.387999999999998</v>
      </c>
      <c r="E44" s="167">
        <v>70.91279999999999</v>
      </c>
      <c r="F44" s="167">
        <v>82.437600000000003</v>
      </c>
      <c r="G44" s="167">
        <v>93.962400000000002</v>
      </c>
      <c r="H44" s="167">
        <v>148.28054639999999</v>
      </c>
      <c r="I44" s="167">
        <v>202.59865359999995</v>
      </c>
      <c r="J44" s="167">
        <v>256.91679999999997</v>
      </c>
      <c r="K44" s="167">
        <v>282.78879999999998</v>
      </c>
      <c r="L44" s="167">
        <v>314.78395759999995</v>
      </c>
      <c r="M44" s="167">
        <v>367.87643759999997</v>
      </c>
      <c r="N44" s="167">
        <v>425.75214080000001</v>
      </c>
      <c r="O44" s="167">
        <v>439.34967999999998</v>
      </c>
      <c r="P44" s="167">
        <v>530.07729599999993</v>
      </c>
      <c r="Q44" s="167">
        <v>537.34775919999993</v>
      </c>
      <c r="R44" s="167">
        <v>551.67806399999995</v>
      </c>
      <c r="S44" s="167">
        <v>545.9569808</v>
      </c>
      <c r="T44" s="167">
        <v>558.30572560000007</v>
      </c>
      <c r="U44" s="167">
        <v>598.95565519999991</v>
      </c>
      <c r="V44" s="167">
        <v>590.79840960000013</v>
      </c>
      <c r="W44" s="167">
        <v>608.80500799999993</v>
      </c>
      <c r="X44" s="167">
        <v>605.34380480000004</v>
      </c>
      <c r="Y44" s="167">
        <v>683.20453039999995</v>
      </c>
      <c r="Z44" s="167">
        <v>714.12349119999988</v>
      </c>
      <c r="AA44" s="167">
        <v>708.20221359999994</v>
      </c>
      <c r="AB44" s="167">
        <v>772.50318880000009</v>
      </c>
      <c r="AC44" s="167">
        <v>773.08911119999993</v>
      </c>
      <c r="AD44" s="167">
        <v>793.58561519999989</v>
      </c>
      <c r="AE44" s="167">
        <v>805.74032</v>
      </c>
      <c r="AF44" s="167">
        <v>782.47903999999994</v>
      </c>
      <c r="AG44" s="167">
        <v>797.92383999999993</v>
      </c>
      <c r="AH44" s="167">
        <v>794.72119999999995</v>
      </c>
      <c r="AI44" s="167">
        <v>863.41919999999993</v>
      </c>
      <c r="AJ44" s="167">
        <v>869.22836559999985</v>
      </c>
      <c r="AK44" s="167">
        <v>892.9965016000001</v>
      </c>
      <c r="AL44" s="167">
        <v>925.59506480000005</v>
      </c>
    </row>
    <row r="45" spans="2:38" s="150" customFormat="1" ht="18.75" customHeight="1">
      <c r="B45" s="19" t="s">
        <v>20</v>
      </c>
      <c r="C45" s="159" t="s">
        <v>213</v>
      </c>
      <c r="D45" s="168">
        <v>3736.0200128605175</v>
      </c>
      <c r="E45" s="168">
        <v>3064.3310050956638</v>
      </c>
      <c r="F45" s="168">
        <v>2622.90641482608</v>
      </c>
      <c r="G45" s="168">
        <v>2373.5272658582721</v>
      </c>
      <c r="H45" s="168">
        <v>2104.9642112380698</v>
      </c>
      <c r="I45" s="168">
        <v>2055.9403484637232</v>
      </c>
      <c r="J45" s="168">
        <v>1922.0272679920636</v>
      </c>
      <c r="K45" s="168">
        <v>1784.9237999239556</v>
      </c>
      <c r="L45" s="168">
        <v>1647.2398889306007</v>
      </c>
      <c r="M45" s="168">
        <v>1608.0438957825675</v>
      </c>
      <c r="N45" s="168">
        <v>1573.083767811989</v>
      </c>
      <c r="O45" s="168">
        <v>1537.9919956657591</v>
      </c>
      <c r="P45" s="168">
        <v>1507.2970119321903</v>
      </c>
      <c r="Q45" s="168">
        <v>1476.0456349479098</v>
      </c>
      <c r="R45" s="168">
        <v>1443.8917632592747</v>
      </c>
      <c r="S45" s="168">
        <v>1411.7214271359985</v>
      </c>
      <c r="T45" s="168">
        <v>1376.9542699254616</v>
      </c>
      <c r="U45" s="168">
        <v>1340.8241889627411</v>
      </c>
      <c r="V45" s="168">
        <v>1306.4740529898038</v>
      </c>
      <c r="W45" s="168">
        <v>1270.7793720961081</v>
      </c>
      <c r="X45" s="168">
        <v>1236.1179304106945</v>
      </c>
      <c r="Y45" s="168">
        <v>1206.6501744478646</v>
      </c>
      <c r="Z45" s="168">
        <v>1179.5829404410895</v>
      </c>
      <c r="AA45" s="168">
        <v>1152.0852276947544</v>
      </c>
      <c r="AB45" s="168">
        <v>1128.2170338480255</v>
      </c>
      <c r="AC45" s="168">
        <v>1110.9261190100362</v>
      </c>
      <c r="AD45" s="168">
        <v>1085.2171194863254</v>
      </c>
      <c r="AE45" s="168">
        <v>1059.0240177981948</v>
      </c>
      <c r="AF45" s="168">
        <v>1032.1322675978809</v>
      </c>
      <c r="AG45" s="168">
        <v>1004.195962583906</v>
      </c>
      <c r="AH45" s="168">
        <v>974.43877827544611</v>
      </c>
      <c r="AI45" s="168">
        <v>975.54617747360055</v>
      </c>
      <c r="AJ45" s="168">
        <v>970.10658270809586</v>
      </c>
      <c r="AK45" s="168">
        <v>970.32989758729491</v>
      </c>
      <c r="AL45" s="168">
        <v>970.55321905990638</v>
      </c>
    </row>
    <row r="46" spans="2:38" s="150" customFormat="1" ht="18.75" customHeight="1">
      <c r="B46" s="90" t="s">
        <v>29</v>
      </c>
      <c r="C46" s="160" t="s">
        <v>214</v>
      </c>
      <c r="D46" s="167">
        <v>0</v>
      </c>
      <c r="E46" s="167">
        <v>0</v>
      </c>
      <c r="F46" s="167">
        <v>0</v>
      </c>
      <c r="G46" s="167">
        <v>0</v>
      </c>
      <c r="H46" s="167">
        <v>0</v>
      </c>
      <c r="I46" s="167">
        <v>0.80430000000000001</v>
      </c>
      <c r="J46" s="167">
        <v>1.6086</v>
      </c>
      <c r="K46" s="167">
        <v>2.4129</v>
      </c>
      <c r="L46" s="167">
        <v>3.2172000000000001</v>
      </c>
      <c r="M46" s="167">
        <v>4.0214999999999996</v>
      </c>
      <c r="N46" s="167">
        <v>5.23278</v>
      </c>
      <c r="O46" s="167">
        <v>5.6435399999999998</v>
      </c>
      <c r="P46" s="167">
        <v>6.5289000000000001</v>
      </c>
      <c r="Q46" s="167">
        <v>6.3357000000000001</v>
      </c>
      <c r="R46" s="167">
        <v>6.4742999999999995</v>
      </c>
      <c r="S46" s="167">
        <v>10.584</v>
      </c>
      <c r="T46" s="167">
        <v>2.7087832799999996</v>
      </c>
      <c r="U46" s="167">
        <v>2.73911148</v>
      </c>
      <c r="V46" s="167">
        <v>2.8923602399999999</v>
      </c>
      <c r="W46" s="167">
        <v>2.9544051599999999</v>
      </c>
      <c r="X46" s="167">
        <v>3.0355970399999999</v>
      </c>
      <c r="Y46" s="167">
        <v>3.26967228</v>
      </c>
      <c r="Z46" s="167">
        <v>3.1169350799999997</v>
      </c>
      <c r="AA46" s="167">
        <v>3.0449512800000003</v>
      </c>
      <c r="AB46" s="167">
        <v>3.0746948399999998</v>
      </c>
      <c r="AC46" s="167">
        <v>2.9946722399999999</v>
      </c>
      <c r="AD46" s="167">
        <v>2.8851253200000002</v>
      </c>
      <c r="AE46" s="167">
        <v>2.7938483999999999</v>
      </c>
      <c r="AF46" s="167">
        <v>2.7557006400000001</v>
      </c>
      <c r="AG46" s="167">
        <v>2.7364075199999998</v>
      </c>
      <c r="AH46" s="167">
        <v>2.6889786</v>
      </c>
      <c r="AI46" s="167">
        <v>2.6244489600000001</v>
      </c>
      <c r="AJ46" s="167">
        <v>2.5111018800000005</v>
      </c>
      <c r="AK46" s="167">
        <v>2.3977548</v>
      </c>
      <c r="AL46" s="167">
        <v>2.2844077199999999</v>
      </c>
    </row>
    <row r="47" spans="2:38" s="150" customFormat="1" ht="18.75" customHeight="1">
      <c r="B47" s="19"/>
      <c r="C47" s="159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</row>
    <row r="48" spans="2:38" s="10" customFormat="1" ht="18.75" customHeight="1">
      <c r="B48" s="153" t="s">
        <v>128</v>
      </c>
      <c r="C48" s="22" t="s">
        <v>3</v>
      </c>
      <c r="D48" s="165">
        <f>SUMIF(D49:D54,"&lt;1E+307")</f>
        <v>7359.0839988707421</v>
      </c>
      <c r="E48" s="165">
        <f t="shared" ref="E48:AJ48" si="34">SUMIF(E49:E54,"&lt;1E+307")</f>
        <v>6792.352419397218</v>
      </c>
      <c r="F48" s="165">
        <f t="shared" si="34"/>
        <v>6698.520703382891</v>
      </c>
      <c r="G48" s="165">
        <f t="shared" si="34"/>
        <v>8015.6132550618058</v>
      </c>
      <c r="H48" s="165">
        <f t="shared" si="34"/>
        <v>7387.3743148780823</v>
      </c>
      <c r="I48" s="165">
        <f t="shared" si="34"/>
        <v>7009.5709090182854</v>
      </c>
      <c r="J48" s="165">
        <f t="shared" si="34"/>
        <v>6587.6705509860167</v>
      </c>
      <c r="K48" s="165">
        <f t="shared" si="34"/>
        <v>6695.3444130684939</v>
      </c>
      <c r="L48" s="165">
        <f t="shared" si="34"/>
        <v>8718.99321987859</v>
      </c>
      <c r="M48" s="165">
        <f t="shared" si="34"/>
        <v>6962.7565235778557</v>
      </c>
      <c r="N48" s="165">
        <f t="shared" si="34"/>
        <v>7044.0911753645923</v>
      </c>
      <c r="O48" s="165">
        <f t="shared" si="34"/>
        <v>8150.9785708659456</v>
      </c>
      <c r="P48" s="165">
        <f t="shared" si="34"/>
        <v>8284.9823059235259</v>
      </c>
      <c r="Q48" s="165">
        <f t="shared" si="34"/>
        <v>6313.8046098074728</v>
      </c>
      <c r="R48" s="165">
        <f t="shared" si="34"/>
        <v>7405.1837985686197</v>
      </c>
      <c r="S48" s="165">
        <f t="shared" si="34"/>
        <v>7019.045114702074</v>
      </c>
      <c r="T48" s="165">
        <f t="shared" si="34"/>
        <v>6643.865048840622</v>
      </c>
      <c r="U48" s="165">
        <f t="shared" si="34"/>
        <v>8086.8462124591942</v>
      </c>
      <c r="V48" s="165">
        <f t="shared" si="34"/>
        <v>6919.7046712052952</v>
      </c>
      <c r="W48" s="165">
        <f t="shared" si="34"/>
        <v>6763.4405827047112</v>
      </c>
      <c r="X48" s="165">
        <f t="shared" si="34"/>
        <v>7413.3678084198164</v>
      </c>
      <c r="Y48" s="165">
        <f t="shared" si="34"/>
        <v>7240.3798230140374</v>
      </c>
      <c r="Z48" s="165">
        <f t="shared" si="34"/>
        <v>6995.7376636392628</v>
      </c>
      <c r="AA48" s="165">
        <f t="shared" si="34"/>
        <v>7059.6937117152347</v>
      </c>
      <c r="AB48" s="165">
        <f t="shared" si="34"/>
        <v>6790.6577956339497</v>
      </c>
      <c r="AC48" s="165">
        <f t="shared" si="34"/>
        <v>7188.4608704673456</v>
      </c>
      <c r="AD48" s="165">
        <f t="shared" si="34"/>
        <v>6796.1225766090402</v>
      </c>
      <c r="AE48" s="165">
        <f t="shared" si="34"/>
        <v>8192.3464395353221</v>
      </c>
      <c r="AF48" s="165">
        <f t="shared" si="34"/>
        <v>6285.5098007745264</v>
      </c>
      <c r="AG48" s="165">
        <f t="shared" si="34"/>
        <v>6715.7181244601088</v>
      </c>
      <c r="AH48" s="165">
        <f t="shared" si="34"/>
        <v>6531.3442139882891</v>
      </c>
      <c r="AI48" s="165">
        <f t="shared" si="34"/>
        <v>7237.5680512283716</v>
      </c>
      <c r="AJ48" s="165">
        <f t="shared" si="34"/>
        <v>6424.9825890556622</v>
      </c>
      <c r="AK48" s="165">
        <f t="shared" ref="AK48:AL48" si="35">SUMIF(AK49:AK54,"&lt;1E+307")</f>
        <v>7749.6856624386983</v>
      </c>
      <c r="AL48" s="165">
        <f t="shared" si="35"/>
        <v>7434.812362656</v>
      </c>
    </row>
    <row r="49" spans="2:38" s="150" customFormat="1" ht="18.75" customHeight="1">
      <c r="B49" s="19" t="s">
        <v>129</v>
      </c>
      <c r="C49" s="159" t="s">
        <v>215</v>
      </c>
      <c r="D49" s="168">
        <v>33.154977592239995</v>
      </c>
      <c r="E49" s="168">
        <v>28.944479294080001</v>
      </c>
      <c r="F49" s="168">
        <v>53.472864143439999</v>
      </c>
      <c r="G49" s="168">
        <v>32.492376029652</v>
      </c>
      <c r="H49" s="168">
        <v>30.177985184479994</v>
      </c>
      <c r="I49" s="168">
        <v>26.992137095168001</v>
      </c>
      <c r="J49" s="168">
        <v>31.837553014259996</v>
      </c>
      <c r="K49" s="168">
        <v>27.066756338356001</v>
      </c>
      <c r="L49" s="168">
        <v>25.848380590199998</v>
      </c>
      <c r="M49" s="168">
        <v>25.974679251359998</v>
      </c>
      <c r="N49" s="168">
        <v>27.002745842939998</v>
      </c>
      <c r="O49" s="168">
        <v>24.237357483527997</v>
      </c>
      <c r="P49" s="168">
        <v>24.275592180447997</v>
      </c>
      <c r="Q49" s="168">
        <v>31.569370153957998</v>
      </c>
      <c r="R49" s="168">
        <v>25.275785861004</v>
      </c>
      <c r="S49" s="168">
        <v>24.754084534731998</v>
      </c>
      <c r="T49" s="168">
        <v>26.675581607527999</v>
      </c>
      <c r="U49" s="168">
        <v>25.370831265528</v>
      </c>
      <c r="V49" s="168">
        <v>27.180995351580002</v>
      </c>
      <c r="W49" s="168">
        <v>28.63165712624</v>
      </c>
      <c r="X49" s="168">
        <v>27.297382338828001</v>
      </c>
      <c r="Y49" s="168">
        <v>25.429139940959999</v>
      </c>
      <c r="Z49" s="168">
        <v>25.821189887976001</v>
      </c>
      <c r="AA49" s="168">
        <v>25.435067604511598</v>
      </c>
      <c r="AB49" s="168">
        <v>24.984988197120003</v>
      </c>
      <c r="AC49" s="168">
        <v>27.667146759042001</v>
      </c>
      <c r="AD49" s="168">
        <v>26.231371526135998</v>
      </c>
      <c r="AE49" s="168">
        <v>27.059489134566</v>
      </c>
      <c r="AF49" s="168">
        <v>39.939290840593763</v>
      </c>
      <c r="AG49" s="168">
        <v>42.308663193411995</v>
      </c>
      <c r="AH49" s="168">
        <v>27.109368090346077</v>
      </c>
      <c r="AI49" s="168">
        <v>25.711074722520038</v>
      </c>
      <c r="AJ49" s="168">
        <v>44.459960988665593</v>
      </c>
      <c r="AK49" s="168">
        <v>32.771512153097753</v>
      </c>
      <c r="AL49" s="168">
        <v>32.769888143999999</v>
      </c>
    </row>
    <row r="50" spans="2:38" s="150" customFormat="1" ht="18.75" customHeight="1">
      <c r="B50" s="90" t="s">
        <v>130</v>
      </c>
      <c r="C50" s="160" t="s">
        <v>216</v>
      </c>
      <c r="D50" s="167">
        <v>338.9540300717195</v>
      </c>
      <c r="E50" s="167">
        <v>201.18751861577027</v>
      </c>
      <c r="F50" s="167">
        <v>196.33414704420744</v>
      </c>
      <c r="G50" s="167">
        <v>458.14681800697804</v>
      </c>
      <c r="H50" s="167">
        <v>400.69067201713244</v>
      </c>
      <c r="I50" s="167">
        <v>253.46936624624828</v>
      </c>
      <c r="J50" s="167">
        <v>156.89547405847227</v>
      </c>
      <c r="K50" s="167">
        <v>171.67375732685795</v>
      </c>
      <c r="L50" s="167">
        <v>689.79590791747091</v>
      </c>
      <c r="M50" s="167">
        <v>266.23898634054348</v>
      </c>
      <c r="N50" s="167">
        <v>272.6035785482681</v>
      </c>
      <c r="O50" s="167">
        <v>531.31170741052881</v>
      </c>
      <c r="P50" s="167">
        <v>631.99862271957761</v>
      </c>
      <c r="Q50" s="167">
        <v>122.62701498491698</v>
      </c>
      <c r="R50" s="167">
        <v>407.81502561952982</v>
      </c>
      <c r="S50" s="167">
        <v>254.57250993636211</v>
      </c>
      <c r="T50" s="167">
        <v>183.81066398033676</v>
      </c>
      <c r="U50" s="167">
        <v>580.75907137619652</v>
      </c>
      <c r="V50" s="167">
        <v>283.90229143847716</v>
      </c>
      <c r="W50" s="167">
        <v>232.67540931819528</v>
      </c>
      <c r="X50" s="167">
        <v>361.51242813522464</v>
      </c>
      <c r="Y50" s="167">
        <v>288.96916665091862</v>
      </c>
      <c r="Z50" s="167">
        <v>305.85680857627784</v>
      </c>
      <c r="AA50" s="167">
        <v>257.96274937398027</v>
      </c>
      <c r="AB50" s="167">
        <v>257.1252477993728</v>
      </c>
      <c r="AC50" s="167">
        <v>455.42488252420827</v>
      </c>
      <c r="AD50" s="167">
        <v>237.15546211781066</v>
      </c>
      <c r="AE50" s="167">
        <v>547.80039917406702</v>
      </c>
      <c r="AF50" s="167">
        <v>109.07364227940599</v>
      </c>
      <c r="AG50" s="167">
        <v>207.75707541666782</v>
      </c>
      <c r="AH50" s="167">
        <v>173.61095164057701</v>
      </c>
      <c r="AI50" s="167">
        <v>289.13637498689849</v>
      </c>
      <c r="AJ50" s="167">
        <v>140.27335126559544</v>
      </c>
      <c r="AK50" s="167">
        <v>535.50798048662273</v>
      </c>
      <c r="AL50" s="167">
        <v>439.24910399999982</v>
      </c>
    </row>
    <row r="51" spans="2:38" s="150" customFormat="1" ht="18.75" customHeight="1">
      <c r="B51" s="19" t="s">
        <v>133</v>
      </c>
      <c r="C51" s="159" t="s">
        <v>217</v>
      </c>
      <c r="D51" s="168">
        <v>1521.5659967719782</v>
      </c>
      <c r="E51" s="168">
        <v>1088.7706997602197</v>
      </c>
      <c r="F51" s="168">
        <v>947.94289840180375</v>
      </c>
      <c r="G51" s="168">
        <v>2076.4497658320884</v>
      </c>
      <c r="H51" s="168">
        <v>1479.8598723511047</v>
      </c>
      <c r="I51" s="168">
        <v>1245.2006307158429</v>
      </c>
      <c r="J51" s="168">
        <v>942.29554167192998</v>
      </c>
      <c r="K51" s="168">
        <v>1008.0080802407767</v>
      </c>
      <c r="L51" s="168">
        <v>2556.5129248759526</v>
      </c>
      <c r="M51" s="168">
        <v>1178.3469532191775</v>
      </c>
      <c r="N51" s="168">
        <v>1276.8495526254378</v>
      </c>
      <c r="O51" s="168">
        <v>2127.400675033774</v>
      </c>
      <c r="P51" s="168">
        <v>2198.0094002667197</v>
      </c>
      <c r="Q51" s="168">
        <v>707.76303317822646</v>
      </c>
      <c r="R51" s="168">
        <v>1498.0410842030049</v>
      </c>
      <c r="S51" s="168">
        <v>1262.2802097080805</v>
      </c>
      <c r="T51" s="168">
        <v>941.84119768487517</v>
      </c>
      <c r="U51" s="168">
        <v>2008.7188909774163</v>
      </c>
      <c r="V51" s="168">
        <v>1112.7258576485517</v>
      </c>
      <c r="W51" s="168">
        <v>991.94928399216678</v>
      </c>
      <c r="X51" s="168">
        <v>1510.2267558117449</v>
      </c>
      <c r="Y51" s="168">
        <v>1451.0743997398085</v>
      </c>
      <c r="Z51" s="168">
        <v>1162.1002947072666</v>
      </c>
      <c r="AA51" s="168">
        <v>1277.4510676954189</v>
      </c>
      <c r="AB51" s="168">
        <v>1006.6509214495727</v>
      </c>
      <c r="AC51" s="168">
        <v>1217.1033514862047</v>
      </c>
      <c r="AD51" s="168">
        <v>1017.5433317652806</v>
      </c>
      <c r="AE51" s="168">
        <v>2135.9387108084256</v>
      </c>
      <c r="AF51" s="168">
        <v>612.88043651975568</v>
      </c>
      <c r="AG51" s="168">
        <v>953.72022850816074</v>
      </c>
      <c r="AH51" s="168">
        <v>815.59167564644963</v>
      </c>
      <c r="AI51" s="168">
        <v>1391.0392103200084</v>
      </c>
      <c r="AJ51" s="168">
        <v>728.06400741458719</v>
      </c>
      <c r="AK51" s="168">
        <v>1631.0851771173677</v>
      </c>
      <c r="AL51" s="168">
        <v>1402.6273239999996</v>
      </c>
    </row>
    <row r="52" spans="2:38" s="150" customFormat="1" ht="18.75" customHeight="1">
      <c r="B52" s="90" t="s">
        <v>134</v>
      </c>
      <c r="C52" s="160" t="s">
        <v>218</v>
      </c>
      <c r="D52" s="167">
        <v>5423.6352398417976</v>
      </c>
      <c r="E52" s="167">
        <v>5448.0054365599499</v>
      </c>
      <c r="F52" s="167">
        <v>5473.5069623916143</v>
      </c>
      <c r="G52" s="167">
        <v>5393.2165499891616</v>
      </c>
      <c r="H52" s="167">
        <v>5429.7752804869851</v>
      </c>
      <c r="I52" s="167">
        <v>5445.0091172163657</v>
      </c>
      <c r="J52" s="167">
        <v>5434.4036673843939</v>
      </c>
      <c r="K52" s="167">
        <v>5465.7789671890132</v>
      </c>
      <c r="L52" s="167">
        <v>5353.7604147071552</v>
      </c>
      <c r="M52" s="167">
        <v>5457.512006889564</v>
      </c>
      <c r="N52" s="167">
        <v>5430.4884864833848</v>
      </c>
      <c r="O52" s="167">
        <v>5391.2772915204232</v>
      </c>
      <c r="P52" s="167">
        <v>5353.9999782464311</v>
      </c>
      <c r="Q52" s="167">
        <v>5434.1915843972001</v>
      </c>
      <c r="R52" s="167">
        <v>5422.6686005436532</v>
      </c>
      <c r="S52" s="167">
        <v>5438.7071209455517</v>
      </c>
      <c r="T52" s="167">
        <v>5461.9542217230919</v>
      </c>
      <c r="U52" s="167">
        <v>5399.202961176401</v>
      </c>
      <c r="V52" s="167">
        <v>5458.6059189033467</v>
      </c>
      <c r="W52" s="167">
        <v>5477.4137495659488</v>
      </c>
      <c r="X52" s="167">
        <v>5470.5843502572034</v>
      </c>
      <c r="Y52" s="167">
        <v>5435.6997232017375</v>
      </c>
      <c r="Z52" s="167">
        <v>5462.306779997497</v>
      </c>
      <c r="AA52" s="167">
        <v>5457.5586002053269</v>
      </c>
      <c r="AB52" s="167">
        <v>5468.9054878137613</v>
      </c>
      <c r="AC52" s="167">
        <v>5432.1351102185063</v>
      </c>
      <c r="AD52" s="167">
        <v>5473.0642272153264</v>
      </c>
      <c r="AE52" s="167">
        <v>5395.4004579389748</v>
      </c>
      <c r="AF52" s="167">
        <v>5395.9155804883494</v>
      </c>
      <c r="AG52" s="167">
        <v>5474.5012800559825</v>
      </c>
      <c r="AH52" s="167">
        <v>5479.1358608932896</v>
      </c>
      <c r="AI52" s="167">
        <v>5470.3355953943037</v>
      </c>
      <c r="AJ52" s="167">
        <v>5476.8482119194696</v>
      </c>
      <c r="AK52" s="167">
        <v>5446.1537900958665</v>
      </c>
      <c r="AL52" s="167">
        <v>5472.553525712</v>
      </c>
    </row>
    <row r="53" spans="2:38" s="150" customFormat="1" ht="18.75" customHeight="1">
      <c r="B53" s="19" t="s">
        <v>135</v>
      </c>
      <c r="C53" s="159" t="s">
        <v>219</v>
      </c>
      <c r="D53" s="168">
        <v>41.773754593006345</v>
      </c>
      <c r="E53" s="168">
        <v>25.444285167198611</v>
      </c>
      <c r="F53" s="168">
        <v>27.263831401825783</v>
      </c>
      <c r="G53" s="168">
        <v>55.30774520392503</v>
      </c>
      <c r="H53" s="168">
        <v>46.870504838380306</v>
      </c>
      <c r="I53" s="168">
        <v>38.899657744660928</v>
      </c>
      <c r="J53" s="168">
        <v>22.238314856960642</v>
      </c>
      <c r="K53" s="168">
        <v>22.81685197349012</v>
      </c>
      <c r="L53" s="168">
        <v>93.0755917878123</v>
      </c>
      <c r="M53" s="168">
        <v>34.683897877211109</v>
      </c>
      <c r="N53" s="168">
        <v>37.146811864561549</v>
      </c>
      <c r="O53" s="168">
        <v>76.751539417691532</v>
      </c>
      <c r="P53" s="168">
        <v>76.698712510348813</v>
      </c>
      <c r="Q53" s="168">
        <v>17.653607093171804</v>
      </c>
      <c r="R53" s="168">
        <v>51.383302341428518</v>
      </c>
      <c r="S53" s="168">
        <v>38.73118957734706</v>
      </c>
      <c r="T53" s="168">
        <v>29.583383844790511</v>
      </c>
      <c r="U53" s="168">
        <v>72.794457663651585</v>
      </c>
      <c r="V53" s="168">
        <v>37.289607863338937</v>
      </c>
      <c r="W53" s="168">
        <v>32.770482702160159</v>
      </c>
      <c r="X53" s="168">
        <v>43.746891876815255</v>
      </c>
      <c r="Y53" s="168">
        <v>39.207393480613</v>
      </c>
      <c r="Z53" s="168">
        <v>39.652590470246018</v>
      </c>
      <c r="AA53" s="168">
        <v>41.286226835996807</v>
      </c>
      <c r="AB53" s="168">
        <v>32.991150374123151</v>
      </c>
      <c r="AC53" s="168">
        <v>56.130379479384523</v>
      </c>
      <c r="AD53" s="168">
        <v>42.128183984485922</v>
      </c>
      <c r="AE53" s="168">
        <v>86.14738247928797</v>
      </c>
      <c r="AF53" s="168">
        <v>127.70085064642178</v>
      </c>
      <c r="AG53" s="168">
        <v>37.430877285885622</v>
      </c>
      <c r="AH53" s="168">
        <v>35.896357717626074</v>
      </c>
      <c r="AI53" s="168">
        <v>61.3457958046409</v>
      </c>
      <c r="AJ53" s="168">
        <v>35.337057467344813</v>
      </c>
      <c r="AK53" s="168">
        <v>104.16720258574342</v>
      </c>
      <c r="AL53" s="168">
        <v>87.612520799999999</v>
      </c>
    </row>
    <row r="54" spans="2:38" s="150" customFormat="1" ht="18.75" customHeight="1">
      <c r="B54" s="90" t="s">
        <v>131</v>
      </c>
      <c r="C54" s="160" t="s">
        <v>220</v>
      </c>
      <c r="D54" s="167">
        <v>0</v>
      </c>
      <c r="E54" s="167">
        <v>0</v>
      </c>
      <c r="F54" s="167">
        <v>0</v>
      </c>
      <c r="G54" s="167">
        <v>0</v>
      </c>
      <c r="H54" s="167">
        <v>0</v>
      </c>
      <c r="I54" s="167">
        <v>0</v>
      </c>
      <c r="J54" s="167">
        <v>0</v>
      </c>
      <c r="K54" s="167">
        <v>0</v>
      </c>
      <c r="L54" s="167">
        <v>0</v>
      </c>
      <c r="M54" s="167">
        <v>0</v>
      </c>
      <c r="N54" s="167">
        <v>0</v>
      </c>
      <c r="O54" s="167">
        <v>0</v>
      </c>
      <c r="P54" s="167">
        <v>0</v>
      </c>
      <c r="Q54" s="167">
        <v>0</v>
      </c>
      <c r="R54" s="167">
        <v>0</v>
      </c>
      <c r="S54" s="167">
        <v>0</v>
      </c>
      <c r="T54" s="167">
        <v>0</v>
      </c>
      <c r="U54" s="167">
        <v>0</v>
      </c>
      <c r="V54" s="167">
        <v>0</v>
      </c>
      <c r="W54" s="167">
        <v>0</v>
      </c>
      <c r="X54" s="167">
        <v>0</v>
      </c>
      <c r="Y54" s="167">
        <v>0</v>
      </c>
      <c r="Z54" s="167">
        <v>0</v>
      </c>
      <c r="AA54" s="167">
        <v>0</v>
      </c>
      <c r="AB54" s="167">
        <v>0</v>
      </c>
      <c r="AC54" s="167">
        <v>0</v>
      </c>
      <c r="AD54" s="167">
        <v>0</v>
      </c>
      <c r="AE54" s="167">
        <v>0</v>
      </c>
      <c r="AF54" s="167">
        <v>0</v>
      </c>
      <c r="AG54" s="167">
        <v>0</v>
      </c>
      <c r="AH54" s="167">
        <v>0</v>
      </c>
      <c r="AI54" s="167">
        <v>0</v>
      </c>
      <c r="AJ54" s="167">
        <v>0</v>
      </c>
      <c r="AK54" s="167">
        <v>0</v>
      </c>
      <c r="AL54" s="167">
        <v>0</v>
      </c>
    </row>
    <row r="55" spans="2:38" ht="19.5" customHeight="1">
      <c r="B55" s="7"/>
      <c r="C55" s="16"/>
    </row>
  </sheetData>
  <pageMargins left="0.70866141732283472" right="0.70866141732283472" top="0.78740157480314965" bottom="0.78740157480314965" header="1.1811023622047245" footer="1.1811023622047245"/>
  <pageSetup paperSize="9" scale="19" orientation="portrait" r:id="rId1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L55"/>
  <sheetViews>
    <sheetView showGridLines="0" zoomScale="70" zoomScaleNormal="70" zoomScalePageLayoutView="150" workbookViewId="0">
      <pane xSplit="3" ySplit="8" topLeftCell="D9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baseColWidth="10" defaultColWidth="11.42578125" defaultRowHeight="15" outlineLevelCol="1"/>
  <cols>
    <col min="1" max="1" width="5.42578125" style="2" customWidth="1"/>
    <col min="2" max="2" width="62.7109375" style="2" customWidth="1"/>
    <col min="3" max="3" width="25.85546875" style="17" hidden="1" customWidth="1"/>
    <col min="4" max="4" width="10.85546875" style="2" customWidth="1"/>
    <col min="5" max="8" width="10.85546875" style="2" hidden="1" customWidth="1" outlineLevel="1"/>
    <col min="9" max="9" width="10.85546875" style="2" customWidth="1" collapsed="1"/>
    <col min="10" max="13" width="10.85546875" style="2" hidden="1" customWidth="1" outlineLevel="1"/>
    <col min="14" max="14" width="10.85546875" style="2" customWidth="1" collapsed="1"/>
    <col min="15" max="18" width="10.85546875" style="2" hidden="1" customWidth="1" outlineLevel="1"/>
    <col min="19" max="19" width="10.85546875" style="2" customWidth="1" collapsed="1"/>
    <col min="20" max="23" width="10.85546875" style="2" hidden="1" customWidth="1" outlineLevel="1"/>
    <col min="24" max="24" width="10.85546875" style="2" customWidth="1" collapsed="1"/>
    <col min="25" max="28" width="10.85546875" style="2" customWidth="1" outlineLevel="1"/>
    <col min="29" max="29" width="10.85546875" style="2" customWidth="1"/>
    <col min="30" max="33" width="10.85546875" style="2" customWidth="1" outlineLevel="1"/>
    <col min="34" max="34" width="10.85546875" style="150" customWidth="1"/>
    <col min="35" max="36" width="10.85546875" style="88" customWidth="1"/>
    <col min="37" max="38" width="10.85546875" style="150" customWidth="1"/>
    <col min="39" max="16384" width="11.42578125" style="2"/>
  </cols>
  <sheetData>
    <row r="1" spans="2:38"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</row>
    <row r="2" spans="2:38" ht="14.25" customHeight="1">
      <c r="B2" s="1"/>
      <c r="C2" s="86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</row>
    <row r="3" spans="2:38" ht="22.5" customHeight="1">
      <c r="B3" s="3" t="s">
        <v>37</v>
      </c>
      <c r="C3" s="12" t="s">
        <v>42</v>
      </c>
      <c r="D3" s="24" t="s">
        <v>256</v>
      </c>
      <c r="E3" s="2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2:38">
      <c r="B4" s="4" t="s">
        <v>79</v>
      </c>
      <c r="C4" s="13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  <c r="AH4" s="155">
        <v>43831</v>
      </c>
      <c r="AI4" s="155">
        <v>44197</v>
      </c>
      <c r="AJ4" s="155">
        <v>44562</v>
      </c>
      <c r="AK4" s="155">
        <v>44927</v>
      </c>
      <c r="AL4" s="155">
        <v>45292</v>
      </c>
    </row>
    <row r="5" spans="2:38" s="10" customFormat="1" ht="18.75" customHeight="1">
      <c r="B5" s="5" t="s">
        <v>21</v>
      </c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164"/>
      <c r="AI5" s="140"/>
      <c r="AJ5" s="21"/>
      <c r="AK5" s="164"/>
      <c r="AL5" s="164"/>
    </row>
    <row r="6" spans="2:38" s="10" customFormat="1" ht="18.75" customHeight="1">
      <c r="B6" s="25" t="s">
        <v>22</v>
      </c>
      <c r="C6" s="22" t="s">
        <v>3</v>
      </c>
      <c r="D6" s="26">
        <f t="shared" ref="D6:AJ6" si="0">SUM(D9,D14,D21,D26,D32,D42)</f>
        <v>51853.657000555657</v>
      </c>
      <c r="E6" s="26">
        <f t="shared" si="0"/>
        <v>50578.97347412807</v>
      </c>
      <c r="F6" s="26">
        <f t="shared" si="0"/>
        <v>51949.63396095905</v>
      </c>
      <c r="G6" s="26">
        <f t="shared" si="0"/>
        <v>49353.818759725611</v>
      </c>
      <c r="H6" s="26">
        <f t="shared" si="0"/>
        <v>51621.847266195495</v>
      </c>
      <c r="I6" s="26">
        <f t="shared" si="0"/>
        <v>50005.620531212007</v>
      </c>
      <c r="J6" s="26">
        <f t="shared" si="0"/>
        <v>51459.79719659168</v>
      </c>
      <c r="K6" s="26">
        <f t="shared" si="0"/>
        <v>48811.022431199788</v>
      </c>
      <c r="L6" s="26">
        <f t="shared" si="0"/>
        <v>37043.652710902606</v>
      </c>
      <c r="M6" s="26">
        <f t="shared" si="0"/>
        <v>34012.60657391532</v>
      </c>
      <c r="N6" s="26">
        <f t="shared" si="0"/>
        <v>33687.602137949296</v>
      </c>
      <c r="O6" s="26">
        <f t="shared" si="0"/>
        <v>35334.5281154759</v>
      </c>
      <c r="P6" s="26">
        <f t="shared" si="0"/>
        <v>34743.519850794182</v>
      </c>
      <c r="Q6" s="26">
        <f t="shared" si="0"/>
        <v>35084.202763978632</v>
      </c>
      <c r="R6" s="26">
        <f t="shared" si="0"/>
        <v>35988.837702165867</v>
      </c>
      <c r="S6" s="26">
        <f t="shared" si="0"/>
        <v>34829.416454705148</v>
      </c>
      <c r="T6" s="26">
        <f t="shared" si="0"/>
        <v>34258.638431075815</v>
      </c>
      <c r="U6" s="26">
        <f t="shared" si="0"/>
        <v>36672.26222016559</v>
      </c>
      <c r="V6" s="26">
        <f t="shared" si="0"/>
        <v>35629.106781408082</v>
      </c>
      <c r="W6" s="26">
        <f t="shared" si="0"/>
        <v>35943.536105262094</v>
      </c>
      <c r="X6" s="26">
        <f t="shared" si="0"/>
        <v>28892.636583606989</v>
      </c>
      <c r="Y6" s="26">
        <f t="shared" si="0"/>
        <v>28924.766295394846</v>
      </c>
      <c r="Z6" s="26">
        <f t="shared" si="0"/>
        <v>29057.749016965281</v>
      </c>
      <c r="AA6" s="26">
        <f t="shared" si="0"/>
        <v>29312.760042200505</v>
      </c>
      <c r="AB6" s="26">
        <f t="shared" si="0"/>
        <v>29578.55687959434</v>
      </c>
      <c r="AC6" s="26">
        <f t="shared" si="0"/>
        <v>29671.818656569307</v>
      </c>
      <c r="AD6" s="26">
        <f t="shared" si="0"/>
        <v>29606.580483533155</v>
      </c>
      <c r="AE6" s="26">
        <f t="shared" si="0"/>
        <v>28809.689152650601</v>
      </c>
      <c r="AF6" s="26">
        <f t="shared" si="0"/>
        <v>28378.60038202913</v>
      </c>
      <c r="AG6" s="26">
        <f t="shared" si="0"/>
        <v>27258.910405918163</v>
      </c>
      <c r="AH6" s="165">
        <f t="shared" si="0"/>
        <v>26411.2470311221</v>
      </c>
      <c r="AI6" s="141">
        <f t="shared" si="0"/>
        <v>25752.08006409448</v>
      </c>
      <c r="AJ6" s="26">
        <f t="shared" si="0"/>
        <v>25352.026159423353</v>
      </c>
      <c r="AK6" s="165">
        <f t="shared" ref="AK6:AL6" si="1">SUM(AK9,AK14,AK21,AK26,AK32,AK42)</f>
        <v>23925.861923886834</v>
      </c>
      <c r="AL6" s="165">
        <f t="shared" si="1"/>
        <v>23641.373988732928</v>
      </c>
    </row>
    <row r="7" spans="2:38" s="10" customFormat="1" ht="18.75" customHeight="1">
      <c r="B7" s="23" t="s">
        <v>23</v>
      </c>
      <c r="C7" s="20" t="s">
        <v>3</v>
      </c>
      <c r="D7" s="27">
        <f t="shared" ref="D7:AJ7" si="2">SUM(D9,D14,D21,D26,D32,D42,D48)</f>
        <v>52662.877920648913</v>
      </c>
      <c r="E7" s="27">
        <f t="shared" si="2"/>
        <v>51405.948154120968</v>
      </c>
      <c r="F7" s="27">
        <f t="shared" si="2"/>
        <v>52786.987124695268</v>
      </c>
      <c r="G7" s="27">
        <f t="shared" si="2"/>
        <v>50120.372695073653</v>
      </c>
      <c r="H7" s="27">
        <f t="shared" si="2"/>
        <v>52416.295227813469</v>
      </c>
      <c r="I7" s="27">
        <f t="shared" si="2"/>
        <v>50803.858301251043</v>
      </c>
      <c r="J7" s="27">
        <f t="shared" si="2"/>
        <v>52287.746941152807</v>
      </c>
      <c r="K7" s="27">
        <f t="shared" si="2"/>
        <v>49634.346185952454</v>
      </c>
      <c r="L7" s="27">
        <f t="shared" si="2"/>
        <v>37778.044572031722</v>
      </c>
      <c r="M7" s="27">
        <f t="shared" si="2"/>
        <v>34818.26434806543</v>
      </c>
      <c r="N7" s="27">
        <f t="shared" si="2"/>
        <v>34487.896393505209</v>
      </c>
      <c r="O7" s="27">
        <f t="shared" si="2"/>
        <v>36245.067146453206</v>
      </c>
      <c r="P7" s="27">
        <f t="shared" si="2"/>
        <v>35639.08329428242</v>
      </c>
      <c r="Q7" s="27">
        <f t="shared" si="2"/>
        <v>36102.321676902844</v>
      </c>
      <c r="R7" s="27">
        <f t="shared" si="2"/>
        <v>36959.401548936396</v>
      </c>
      <c r="S7" s="27">
        <f t="shared" si="2"/>
        <v>35824.712696472452</v>
      </c>
      <c r="T7" s="27">
        <f t="shared" si="2"/>
        <v>35215.609449804891</v>
      </c>
      <c r="U7" s="27">
        <f t="shared" si="2"/>
        <v>37566.1288579908</v>
      </c>
      <c r="V7" s="27">
        <f t="shared" si="2"/>
        <v>36588.499973221056</v>
      </c>
      <c r="W7" s="27">
        <f t="shared" si="2"/>
        <v>36868.877512757674</v>
      </c>
      <c r="X7" s="27">
        <f t="shared" si="2"/>
        <v>29801.363559038473</v>
      </c>
      <c r="Y7" s="27">
        <f t="shared" si="2"/>
        <v>29828.64291413781</v>
      </c>
      <c r="Z7" s="27">
        <f t="shared" si="2"/>
        <v>29994.556324779878</v>
      </c>
      <c r="AA7" s="27">
        <f t="shared" si="2"/>
        <v>30262.237860444071</v>
      </c>
      <c r="AB7" s="27">
        <f t="shared" si="2"/>
        <v>30594.175911884642</v>
      </c>
      <c r="AC7" s="27">
        <f t="shared" si="2"/>
        <v>30674.175791149413</v>
      </c>
      <c r="AD7" s="27">
        <f t="shared" si="2"/>
        <v>30583.574637535305</v>
      </c>
      <c r="AE7" s="27">
        <f t="shared" si="2"/>
        <v>29725.019527403958</v>
      </c>
      <c r="AF7" s="27">
        <f t="shared" si="2"/>
        <v>29415.620891586845</v>
      </c>
      <c r="AG7" s="27">
        <f t="shared" si="2"/>
        <v>28284.901974281966</v>
      </c>
      <c r="AH7" s="166">
        <f t="shared" si="2"/>
        <v>27441.72117076076</v>
      </c>
      <c r="AI7" s="142">
        <f t="shared" si="2"/>
        <v>26720.953712419039</v>
      </c>
      <c r="AJ7" s="27">
        <f t="shared" si="2"/>
        <v>26369.626397444194</v>
      </c>
      <c r="AK7" s="166">
        <f t="shared" ref="AK7:AL7" si="3">SUM(AK9,AK14,AK21,AK26,AK32,AK42,AK48)</f>
        <v>24934.412198468981</v>
      </c>
      <c r="AL7" s="166">
        <f t="shared" si="3"/>
        <v>24610.11308457216</v>
      </c>
    </row>
    <row r="8" spans="2:38" ht="18.75" customHeight="1">
      <c r="B8" s="18"/>
      <c r="C8" s="1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167"/>
      <c r="AI8" s="143"/>
      <c r="AJ8" s="91"/>
      <c r="AK8" s="167"/>
      <c r="AL8" s="167"/>
    </row>
    <row r="9" spans="2:38" s="10" customFormat="1" ht="18.75" customHeight="1">
      <c r="B9" s="5" t="s">
        <v>8</v>
      </c>
      <c r="C9" s="20" t="s">
        <v>3</v>
      </c>
      <c r="D9" s="27">
        <f t="shared" ref="D9:AG9" si="4">SUMIF(D10:D12,"&lt;1E+307")</f>
        <v>2831.2732906360543</v>
      </c>
      <c r="E9" s="27">
        <f t="shared" si="4"/>
        <v>2682.2657837498732</v>
      </c>
      <c r="F9" s="27">
        <f t="shared" si="4"/>
        <v>2536.3330839001615</v>
      </c>
      <c r="G9" s="27">
        <f t="shared" si="4"/>
        <v>2432.2347182126255</v>
      </c>
      <c r="H9" s="27">
        <f t="shared" si="4"/>
        <v>2384.1276486094962</v>
      </c>
      <c r="I9" s="27">
        <f t="shared" si="4"/>
        <v>2269.0293209313145</v>
      </c>
      <c r="J9" s="27">
        <f t="shared" si="4"/>
        <v>2246.6792856338702</v>
      </c>
      <c r="K9" s="27">
        <f t="shared" si="4"/>
        <v>2119.4126234914161</v>
      </c>
      <c r="L9" s="27">
        <f t="shared" si="4"/>
        <v>2086.3864438065843</v>
      </c>
      <c r="M9" s="27">
        <f t="shared" si="4"/>
        <v>2027.6357537666941</v>
      </c>
      <c r="N9" s="27">
        <f t="shared" si="4"/>
        <v>2122.4827317894737</v>
      </c>
      <c r="O9" s="27">
        <f t="shared" si="4"/>
        <v>2195.7022952861839</v>
      </c>
      <c r="P9" s="27">
        <f t="shared" si="4"/>
        <v>2222.2810847799606</v>
      </c>
      <c r="Q9" s="27">
        <f t="shared" si="4"/>
        <v>2335.8248854706176</v>
      </c>
      <c r="R9" s="27">
        <f t="shared" si="4"/>
        <v>2436.0495314258014</v>
      </c>
      <c r="S9" s="27">
        <f t="shared" si="4"/>
        <v>2368.6094019866864</v>
      </c>
      <c r="T9" s="27">
        <f t="shared" si="4"/>
        <v>2407.0774795479065</v>
      </c>
      <c r="U9" s="27">
        <f t="shared" si="4"/>
        <v>2490.0431465356351</v>
      </c>
      <c r="V9" s="27">
        <f t="shared" si="4"/>
        <v>2419.3399510326217</v>
      </c>
      <c r="W9" s="27">
        <f t="shared" si="4"/>
        <v>2318.6478505112054</v>
      </c>
      <c r="X9" s="27">
        <f t="shared" si="4"/>
        <v>2386.6698738402224</v>
      </c>
      <c r="Y9" s="27">
        <f t="shared" si="4"/>
        <v>2422.0885262002553</v>
      </c>
      <c r="Z9" s="27">
        <f t="shared" si="4"/>
        <v>2529.2651738624836</v>
      </c>
      <c r="AA9" s="27">
        <f t="shared" si="4"/>
        <v>2482.133945369364</v>
      </c>
      <c r="AB9" s="27">
        <f t="shared" si="4"/>
        <v>2384.1392558653038</v>
      </c>
      <c r="AC9" s="27">
        <f t="shared" si="4"/>
        <v>2360.1448448389697</v>
      </c>
      <c r="AD9" s="27">
        <f t="shared" si="4"/>
        <v>2336.3651814146006</v>
      </c>
      <c r="AE9" s="27">
        <f t="shared" si="4"/>
        <v>2250.31130168758</v>
      </c>
      <c r="AF9" s="27">
        <f t="shared" si="4"/>
        <v>2196.4299186507874</v>
      </c>
      <c r="AG9" s="27">
        <f t="shared" si="4"/>
        <v>1867.5227357617725</v>
      </c>
      <c r="AH9" s="166">
        <f t="shared" ref="AH9" si="5">SUMIF(AH10:AH12,"&lt;1E+307")</f>
        <v>1619.7114057342337</v>
      </c>
      <c r="AI9" s="142">
        <f t="shared" ref="AI9" si="6">SUMIF(AI10:AI12,"&lt;1E+307")</f>
        <v>1790.9316025479136</v>
      </c>
      <c r="AJ9" s="27">
        <f t="shared" ref="AJ9:AK9" si="7">SUMIF(AJ10:AJ12,"&lt;1E+307")</f>
        <v>1824.1465158762057</v>
      </c>
      <c r="AK9" s="166">
        <f t="shared" si="7"/>
        <v>1490.0323141246702</v>
      </c>
      <c r="AL9" s="166">
        <f t="shared" ref="AL9" si="8">SUMIF(AL10:AL12,"&lt;1E+307")</f>
        <v>1381.9550930089611</v>
      </c>
    </row>
    <row r="10" spans="2:38" ht="18.75" customHeight="1">
      <c r="B10" s="18" t="s">
        <v>0</v>
      </c>
      <c r="C10" s="15" t="s">
        <v>156</v>
      </c>
      <c r="D10" s="28">
        <v>2816.3642440000003</v>
      </c>
      <c r="E10" s="167">
        <v>2666.8888111949982</v>
      </c>
      <c r="F10" s="167">
        <v>2521.280633365001</v>
      </c>
      <c r="G10" s="167">
        <v>2416.3879355999993</v>
      </c>
      <c r="H10" s="167">
        <v>2368.0279374649999</v>
      </c>
      <c r="I10" s="167">
        <v>2251.9177755610403</v>
      </c>
      <c r="J10" s="167">
        <v>2229.1625993511193</v>
      </c>
      <c r="K10" s="167">
        <v>2104.1267559105563</v>
      </c>
      <c r="L10" s="167">
        <v>2072.5021264423963</v>
      </c>
      <c r="M10" s="167">
        <v>2015.3446381468655</v>
      </c>
      <c r="N10" s="167">
        <v>2111.754079421064</v>
      </c>
      <c r="O10" s="167">
        <v>2184.8945229691894</v>
      </c>
      <c r="P10" s="167">
        <v>2211.2252281162423</v>
      </c>
      <c r="Q10" s="167">
        <v>2325.7172378082878</v>
      </c>
      <c r="R10" s="167">
        <v>2422.6748159953613</v>
      </c>
      <c r="S10" s="167">
        <v>2355.5092184256805</v>
      </c>
      <c r="T10" s="167">
        <v>2392.5259858748036</v>
      </c>
      <c r="U10" s="167">
        <v>2478.0599827970773</v>
      </c>
      <c r="V10" s="167">
        <v>2406.8431077797381</v>
      </c>
      <c r="W10" s="167">
        <v>2307.1663009882027</v>
      </c>
      <c r="X10" s="167">
        <v>2376.607822080563</v>
      </c>
      <c r="Y10" s="167">
        <v>2411.6634761814912</v>
      </c>
      <c r="Z10" s="167">
        <v>2518.7255067140827</v>
      </c>
      <c r="AA10" s="167">
        <v>2469.7207990263501</v>
      </c>
      <c r="AB10" s="167">
        <v>2373.8729467827693</v>
      </c>
      <c r="AC10" s="167">
        <v>2349.5738595096691</v>
      </c>
      <c r="AD10" s="167">
        <v>2327.1871214613561</v>
      </c>
      <c r="AE10" s="167">
        <v>2239.6496444076633</v>
      </c>
      <c r="AF10" s="167">
        <v>2185.045403288455</v>
      </c>
      <c r="AG10" s="167">
        <v>1857.2494873848871</v>
      </c>
      <c r="AH10" s="167">
        <v>1612.9105643026508</v>
      </c>
      <c r="AI10" s="167">
        <v>1783.6682361841461</v>
      </c>
      <c r="AJ10" s="167">
        <v>1813.1760732935743</v>
      </c>
      <c r="AK10" s="167">
        <v>1482.1778490931363</v>
      </c>
      <c r="AL10" s="167">
        <v>1374.645135534927</v>
      </c>
    </row>
    <row r="11" spans="2:38" s="88" customFormat="1" ht="18.75" customHeight="1">
      <c r="B11" s="19" t="s">
        <v>2</v>
      </c>
      <c r="C11" s="14" t="s">
        <v>157</v>
      </c>
      <c r="D11" s="29">
        <v>12.884962499999999</v>
      </c>
      <c r="E11" s="29">
        <v>13.539512499999999</v>
      </c>
      <c r="F11" s="29">
        <v>13.3858125</v>
      </c>
      <c r="G11" s="29">
        <v>14.1649125</v>
      </c>
      <c r="H11" s="29">
        <v>14.42395</v>
      </c>
      <c r="I11" s="29">
        <v>15.727749999999999</v>
      </c>
      <c r="J11" s="29">
        <v>16.051177199999998</v>
      </c>
      <c r="K11" s="29">
        <v>13.854396100000001</v>
      </c>
      <c r="L11" s="29">
        <v>12.4884112</v>
      </c>
      <c r="M11" s="29">
        <v>10.963034100000002</v>
      </c>
      <c r="N11" s="29">
        <v>9.3952039999999997</v>
      </c>
      <c r="O11" s="29">
        <v>9.4833005999999997</v>
      </c>
      <c r="P11" s="29">
        <v>9.731308799999999</v>
      </c>
      <c r="Q11" s="29">
        <v>8.7252203999999995</v>
      </c>
      <c r="R11" s="29">
        <v>11.974109800000001</v>
      </c>
      <c r="S11" s="29">
        <v>11.669028364499999</v>
      </c>
      <c r="T11" s="29">
        <v>13.143879451499998</v>
      </c>
      <c r="U11" s="29">
        <v>10.690620131399998</v>
      </c>
      <c r="V11" s="29">
        <v>11.25843753675</v>
      </c>
      <c r="W11" s="29">
        <v>10.353167920349998</v>
      </c>
      <c r="X11" s="29">
        <v>9.0412696819999994</v>
      </c>
      <c r="Y11" s="29">
        <v>9.3635469674999996</v>
      </c>
      <c r="Z11" s="29">
        <v>9.460801331499999</v>
      </c>
      <c r="AA11" s="29">
        <v>11.390230370999998</v>
      </c>
      <c r="AB11" s="29">
        <v>9.2665262274999982</v>
      </c>
      <c r="AC11" s="29">
        <v>9.5383828904999977</v>
      </c>
      <c r="AD11" s="29">
        <v>8.1357687364999993</v>
      </c>
      <c r="AE11" s="29">
        <v>9.6476389720000011</v>
      </c>
      <c r="AF11" s="29">
        <v>10.473567625500001</v>
      </c>
      <c r="AG11" s="29">
        <v>9.3775886814999989</v>
      </c>
      <c r="AH11" s="168">
        <v>5.9615439064999993</v>
      </c>
      <c r="AI11" s="144">
        <v>6.4389633219999984</v>
      </c>
      <c r="AJ11" s="29">
        <v>10.071935268499999</v>
      </c>
      <c r="AK11" s="168">
        <v>7.1093122244999991</v>
      </c>
      <c r="AL11" s="168">
        <v>6.5648046669999989</v>
      </c>
    </row>
    <row r="12" spans="2:38" s="88" customFormat="1" ht="18.75" customHeight="1">
      <c r="B12" s="90" t="s">
        <v>1</v>
      </c>
      <c r="C12" s="89" t="s">
        <v>158</v>
      </c>
      <c r="D12" s="91">
        <v>2.0240841360540003</v>
      </c>
      <c r="E12" s="91">
        <v>1.8374600548751774</v>
      </c>
      <c r="F12" s="91">
        <v>1.6666380351603736</v>
      </c>
      <c r="G12" s="91">
        <v>1.6818701126263713</v>
      </c>
      <c r="H12" s="91">
        <v>1.675761144496551</v>
      </c>
      <c r="I12" s="91">
        <v>1.3837953702739427</v>
      </c>
      <c r="J12" s="91">
        <v>1.4655090827509485</v>
      </c>
      <c r="K12" s="91">
        <v>1.4314714808597808</v>
      </c>
      <c r="L12" s="91">
        <v>1.3959061641879906</v>
      </c>
      <c r="M12" s="91">
        <v>1.3280815198285389</v>
      </c>
      <c r="N12" s="91">
        <v>1.3334483684097087</v>
      </c>
      <c r="O12" s="91">
        <v>1.3244717169947724</v>
      </c>
      <c r="P12" s="91">
        <v>1.3245478637182178</v>
      </c>
      <c r="Q12" s="91">
        <v>1.3824272623295346</v>
      </c>
      <c r="R12" s="91">
        <v>1.4006056304403376</v>
      </c>
      <c r="S12" s="91">
        <v>1.4311551965062579</v>
      </c>
      <c r="T12" s="91">
        <v>1.4076142216026939</v>
      </c>
      <c r="U12" s="91">
        <v>1.2925436071579384</v>
      </c>
      <c r="V12" s="91">
        <v>1.2384057161336408</v>
      </c>
      <c r="W12" s="91">
        <v>1.1283816026524747</v>
      </c>
      <c r="X12" s="91">
        <v>1.0207820776596228</v>
      </c>
      <c r="Y12" s="91">
        <v>1.0615030512640338</v>
      </c>
      <c r="Z12" s="91">
        <v>1.0788658169008458</v>
      </c>
      <c r="AA12" s="91">
        <v>1.0229159720137466</v>
      </c>
      <c r="AB12" s="91">
        <v>0.99978285503450348</v>
      </c>
      <c r="AC12" s="91">
        <v>1.0326024388006536</v>
      </c>
      <c r="AD12" s="91">
        <v>1.0422912167446603</v>
      </c>
      <c r="AE12" s="91">
        <v>1.0140183079164138</v>
      </c>
      <c r="AF12" s="91">
        <v>0.91094773683244501</v>
      </c>
      <c r="AG12" s="91">
        <v>0.89565969538562751</v>
      </c>
      <c r="AH12" s="167">
        <v>0.83929752508285571</v>
      </c>
      <c r="AI12" s="143">
        <v>0.82440304176745116</v>
      </c>
      <c r="AJ12" s="91">
        <v>0.89850731413132467</v>
      </c>
      <c r="AK12" s="167">
        <v>0.74515280703386377</v>
      </c>
      <c r="AL12" s="167">
        <v>0.74515280703386377</v>
      </c>
    </row>
    <row r="13" spans="2:38" s="10" customFormat="1" ht="18.75" customHeight="1">
      <c r="B13" s="9"/>
      <c r="C13" s="20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166"/>
      <c r="AI13" s="142"/>
      <c r="AJ13" s="27"/>
      <c r="AK13" s="166"/>
      <c r="AL13" s="166"/>
    </row>
    <row r="14" spans="2:38" s="10" customFormat="1" ht="18.75" customHeight="1">
      <c r="B14" s="6" t="s">
        <v>9</v>
      </c>
      <c r="C14" s="22" t="s">
        <v>3</v>
      </c>
      <c r="D14" s="26">
        <f t="shared" ref="D14:AJ14" si="9">SUMIF(D15:D19,"&lt;1E+307")</f>
        <v>22042.765154777448</v>
      </c>
      <c r="E14" s="26">
        <f t="shared" si="9"/>
        <v>22464.630793384422</v>
      </c>
      <c r="F14" s="26">
        <f t="shared" si="9"/>
        <v>24570.9077448229</v>
      </c>
      <c r="G14" s="26">
        <f t="shared" si="9"/>
        <v>22626.149939262155</v>
      </c>
      <c r="H14" s="26">
        <f t="shared" si="9"/>
        <v>24992.036972179514</v>
      </c>
      <c r="I14" s="26">
        <f t="shared" si="9"/>
        <v>23323.764793047209</v>
      </c>
      <c r="J14" s="26">
        <f t="shared" si="9"/>
        <v>24361.080366414044</v>
      </c>
      <c r="K14" s="26">
        <f t="shared" si="9"/>
        <v>22038.464662361515</v>
      </c>
      <c r="L14" s="26">
        <f t="shared" si="9"/>
        <v>10511.175937856404</v>
      </c>
      <c r="M14" s="26">
        <f t="shared" si="9"/>
        <v>6871.1758362131277</v>
      </c>
      <c r="N14" s="26">
        <f t="shared" si="9"/>
        <v>6492.4369536898266</v>
      </c>
      <c r="O14" s="26">
        <f t="shared" si="9"/>
        <v>8171.2776477914986</v>
      </c>
      <c r="P14" s="26">
        <f t="shared" si="9"/>
        <v>8502.8212507156495</v>
      </c>
      <c r="Q14" s="26">
        <f t="shared" si="9"/>
        <v>8563.6954796514037</v>
      </c>
      <c r="R14" s="26">
        <f t="shared" si="9"/>
        <v>9734.2677963855876</v>
      </c>
      <c r="S14" s="26">
        <f t="shared" si="9"/>
        <v>8331.5515784513154</v>
      </c>
      <c r="T14" s="26">
        <f t="shared" si="9"/>
        <v>8119.1573564002338</v>
      </c>
      <c r="U14" s="26">
        <f t="shared" si="9"/>
        <v>10394.822712333449</v>
      </c>
      <c r="V14" s="26">
        <f t="shared" si="9"/>
        <v>9247.1955867733814</v>
      </c>
      <c r="W14" s="26">
        <f t="shared" si="9"/>
        <v>9488.9957180219844</v>
      </c>
      <c r="X14" s="26">
        <f t="shared" si="9"/>
        <v>2354.4630912815678</v>
      </c>
      <c r="Y14" s="26">
        <f t="shared" si="9"/>
        <v>2058.6674853447739</v>
      </c>
      <c r="Z14" s="26">
        <f t="shared" si="9"/>
        <v>1723.6778823904162</v>
      </c>
      <c r="AA14" s="26">
        <f t="shared" si="9"/>
        <v>1787.8462034749029</v>
      </c>
      <c r="AB14" s="26">
        <f t="shared" si="9"/>
        <v>1683.1906861507534</v>
      </c>
      <c r="AC14" s="26">
        <f t="shared" si="9"/>
        <v>1739.9199323531811</v>
      </c>
      <c r="AD14" s="26">
        <f t="shared" si="9"/>
        <v>1724.7180393778394</v>
      </c>
      <c r="AE14" s="26">
        <f t="shared" si="9"/>
        <v>1694.5476102077814</v>
      </c>
      <c r="AF14" s="26">
        <f t="shared" si="9"/>
        <v>1644.26187349764</v>
      </c>
      <c r="AG14" s="26">
        <f t="shared" si="9"/>
        <v>1520.4429961048832</v>
      </c>
      <c r="AH14" s="165">
        <f t="shared" si="9"/>
        <v>1537.2740825768519</v>
      </c>
      <c r="AI14" s="141">
        <f t="shared" si="9"/>
        <v>1483.1613869238397</v>
      </c>
      <c r="AJ14" s="26">
        <f t="shared" si="9"/>
        <v>1407.3891061827046</v>
      </c>
      <c r="AK14" s="165">
        <f t="shared" ref="AK14:AL14" si="10">SUMIF(AK15:AK19,"&lt;1E+307")</f>
        <v>1036.4633777336489</v>
      </c>
      <c r="AL14" s="165">
        <f t="shared" si="10"/>
        <v>979.39465151944773</v>
      </c>
    </row>
    <row r="15" spans="2:38" ht="18.75" customHeight="1">
      <c r="B15" s="19" t="s">
        <v>24</v>
      </c>
      <c r="C15" s="14" t="s">
        <v>159</v>
      </c>
      <c r="D15" s="29">
        <v>1191.658185774877</v>
      </c>
      <c r="E15" s="29">
        <v>1026.1514831017876</v>
      </c>
      <c r="F15" s="29">
        <v>939.64870003717431</v>
      </c>
      <c r="G15" s="29">
        <v>860.37129318636983</v>
      </c>
      <c r="H15" s="29">
        <v>827.52885500394689</v>
      </c>
      <c r="I15" s="29">
        <v>855.42776703251309</v>
      </c>
      <c r="J15" s="29">
        <v>795.75981313185207</v>
      </c>
      <c r="K15" s="29">
        <v>844.88180210727103</v>
      </c>
      <c r="L15" s="29">
        <v>770.61070863811142</v>
      </c>
      <c r="M15" s="29">
        <v>765.00376316759593</v>
      </c>
      <c r="N15" s="29">
        <v>702.10303912543611</v>
      </c>
      <c r="O15" s="29">
        <v>679.58774043008191</v>
      </c>
      <c r="P15" s="29">
        <v>650.2410065152136</v>
      </c>
      <c r="Q15" s="29">
        <v>662.39301708782455</v>
      </c>
      <c r="R15" s="29">
        <v>649.98943333043746</v>
      </c>
      <c r="S15" s="29">
        <v>623.22364373176242</v>
      </c>
      <c r="T15" s="29">
        <v>640.15496352278626</v>
      </c>
      <c r="U15" s="29">
        <v>671.86688794837642</v>
      </c>
      <c r="V15" s="29">
        <v>707.16386485765759</v>
      </c>
      <c r="W15" s="29">
        <v>635.59794980194363</v>
      </c>
      <c r="X15" s="29">
        <v>712.2036439076719</v>
      </c>
      <c r="Y15" s="29">
        <v>711.05982851097826</v>
      </c>
      <c r="Z15" s="29">
        <v>681.58815597011017</v>
      </c>
      <c r="AA15" s="29">
        <v>665.11626072292859</v>
      </c>
      <c r="AB15" s="29">
        <v>678.57436230939459</v>
      </c>
      <c r="AC15" s="29">
        <v>719.68594183516461</v>
      </c>
      <c r="AD15" s="29">
        <v>754.19854499933876</v>
      </c>
      <c r="AE15" s="29">
        <v>751.17675720241027</v>
      </c>
      <c r="AF15" s="29">
        <v>712.03355501981514</v>
      </c>
      <c r="AG15" s="29">
        <v>700.3005315953568</v>
      </c>
      <c r="AH15" s="168">
        <v>716.45241326542089</v>
      </c>
      <c r="AI15" s="144">
        <v>723.30790025043564</v>
      </c>
      <c r="AJ15" s="29">
        <v>668.74852550041214</v>
      </c>
      <c r="AK15" s="168">
        <v>613.87052144722463</v>
      </c>
      <c r="AL15" s="168">
        <v>611.39221623720539</v>
      </c>
    </row>
    <row r="16" spans="2:38" ht="18.75" customHeight="1">
      <c r="B16" s="18" t="s">
        <v>11</v>
      </c>
      <c r="C16" s="15" t="s">
        <v>160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167">
        <v>0</v>
      </c>
      <c r="AI16" s="143">
        <v>0</v>
      </c>
      <c r="AJ16" s="91">
        <v>0</v>
      </c>
      <c r="AK16" s="167">
        <v>0</v>
      </c>
      <c r="AL16" s="167">
        <v>0</v>
      </c>
    </row>
    <row r="17" spans="2:38" ht="18.75" customHeight="1">
      <c r="B17" s="19" t="s">
        <v>12</v>
      </c>
      <c r="C17" s="14" t="s">
        <v>161</v>
      </c>
      <c r="D17" s="29">
        <v>19075.134208965999</v>
      </c>
      <c r="E17" s="29">
        <v>19733.923586215999</v>
      </c>
      <c r="F17" s="29">
        <v>21999.096972715997</v>
      </c>
      <c r="G17" s="29">
        <v>20205.239548215999</v>
      </c>
      <c r="H17" s="29">
        <v>22672.562036715997</v>
      </c>
      <c r="I17" s="29">
        <v>21054.617813215995</v>
      </c>
      <c r="J17" s="29">
        <v>22221.687615513223</v>
      </c>
      <c r="K17" s="29">
        <v>19918.109322588261</v>
      </c>
      <c r="L17" s="29">
        <v>8536.6289877143445</v>
      </c>
      <c r="M17" s="29">
        <v>4973.1405361962488</v>
      </c>
      <c r="N17" s="29">
        <v>4724.156342679581</v>
      </c>
      <c r="O17" s="29">
        <v>6493.7588234664536</v>
      </c>
      <c r="P17" s="29">
        <v>6983.1364588317938</v>
      </c>
      <c r="Q17" s="29">
        <v>7155.3079468794003</v>
      </c>
      <c r="R17" s="29">
        <v>8462.3489716071381</v>
      </c>
      <c r="S17" s="29">
        <v>7214.5553105390127</v>
      </c>
      <c r="T17" s="29">
        <v>6971.9659908460571</v>
      </c>
      <c r="U17" s="29">
        <v>9246.3687724408246</v>
      </c>
      <c r="V17" s="29">
        <v>8109.8216909770144</v>
      </c>
      <c r="W17" s="29">
        <v>8448.4501377893048</v>
      </c>
      <c r="X17" s="29">
        <v>1247.1364446570324</v>
      </c>
      <c r="Y17" s="29">
        <v>962.68798434035068</v>
      </c>
      <c r="Z17" s="29">
        <v>684.95355158068492</v>
      </c>
      <c r="AA17" s="29">
        <v>793.15175772541693</v>
      </c>
      <c r="AB17" s="29">
        <v>692.89483871691436</v>
      </c>
      <c r="AC17" s="29">
        <v>693.28098598987071</v>
      </c>
      <c r="AD17" s="29">
        <v>632.17095782451474</v>
      </c>
      <c r="AE17" s="29">
        <v>623.10058859856008</v>
      </c>
      <c r="AF17" s="29">
        <v>578.0984592177532</v>
      </c>
      <c r="AG17" s="29">
        <v>500.56078729905005</v>
      </c>
      <c r="AH17" s="168">
        <v>504.35900064531944</v>
      </c>
      <c r="AI17" s="144">
        <v>410.47723060066039</v>
      </c>
      <c r="AJ17" s="29">
        <v>348.9870478387798</v>
      </c>
      <c r="AK17" s="168">
        <v>200.8987533299894</v>
      </c>
      <c r="AL17" s="168">
        <v>155.5146047200522</v>
      </c>
    </row>
    <row r="18" spans="2:38" ht="18.75" customHeight="1">
      <c r="B18" s="18" t="s">
        <v>13</v>
      </c>
      <c r="C18" s="15" t="s">
        <v>162</v>
      </c>
      <c r="D18" s="28">
        <v>23.6047425</v>
      </c>
      <c r="E18" s="28">
        <v>22.859827499999998</v>
      </c>
      <c r="F18" s="28">
        <v>21.155745</v>
      </c>
      <c r="G18" s="28">
        <v>20.246662499999999</v>
      </c>
      <c r="H18" s="28">
        <v>22.39038</v>
      </c>
      <c r="I18" s="28">
        <v>14.919587313525</v>
      </c>
      <c r="J18" s="28">
        <v>14.248587122909999</v>
      </c>
      <c r="K18" s="28">
        <v>15.877556454375</v>
      </c>
      <c r="L18" s="28">
        <v>14.196771829259998</v>
      </c>
      <c r="M18" s="28">
        <v>13.046266093590003</v>
      </c>
      <c r="N18" s="28">
        <v>16.557610155075</v>
      </c>
      <c r="O18" s="28">
        <v>14.004390435930002</v>
      </c>
      <c r="P18" s="28">
        <v>11.9097031897935</v>
      </c>
      <c r="Q18" s="28">
        <v>14.8116411045</v>
      </c>
      <c r="R18" s="28">
        <v>17.260628985000004</v>
      </c>
      <c r="S18" s="28">
        <v>15.841584274500001</v>
      </c>
      <c r="T18" s="28">
        <v>16.406257351499999</v>
      </c>
      <c r="U18" s="28">
        <v>16.433846792999997</v>
      </c>
      <c r="V18" s="28">
        <v>13.8833967195</v>
      </c>
      <c r="W18" s="28">
        <v>10.743747898500001</v>
      </c>
      <c r="X18" s="28">
        <v>13.9423119435</v>
      </c>
      <c r="Y18" s="28">
        <v>13.343685290999998</v>
      </c>
      <c r="Z18" s="28">
        <v>11.302310605500001</v>
      </c>
      <c r="AA18" s="28">
        <v>11.437830121499999</v>
      </c>
      <c r="AB18" s="28">
        <v>12.702090478500001</v>
      </c>
      <c r="AC18" s="28">
        <v>13.594796217000001</v>
      </c>
      <c r="AD18" s="28">
        <v>13.174000173</v>
      </c>
      <c r="AE18" s="28">
        <v>15.5967168015</v>
      </c>
      <c r="AF18" s="28">
        <v>13.968615631499999</v>
      </c>
      <c r="AG18" s="28">
        <v>12.253459576499999</v>
      </c>
      <c r="AH18" s="167">
        <v>11.001059586</v>
      </c>
      <c r="AI18" s="143">
        <v>12.127811814000001</v>
      </c>
      <c r="AJ18" s="91">
        <v>10.927614465</v>
      </c>
      <c r="AK18" s="167">
        <v>12.188035449000001</v>
      </c>
      <c r="AL18" s="167">
        <v>12.7179159075</v>
      </c>
    </row>
    <row r="19" spans="2:38" ht="18.75" customHeight="1">
      <c r="B19" s="19" t="s">
        <v>80</v>
      </c>
      <c r="C19" s="14" t="s">
        <v>25</v>
      </c>
      <c r="D19" s="29">
        <v>1752.3680175365698</v>
      </c>
      <c r="E19" s="29">
        <v>1681.6958965666349</v>
      </c>
      <c r="F19" s="29">
        <v>1611.0063270697299</v>
      </c>
      <c r="G19" s="29">
        <v>1540.2924353597843</v>
      </c>
      <c r="H19" s="29">
        <v>1469.5557004595694</v>
      </c>
      <c r="I19" s="29">
        <v>1398.7996254851739</v>
      </c>
      <c r="J19" s="29">
        <v>1329.3843506460589</v>
      </c>
      <c r="K19" s="29">
        <v>1259.5959812116103</v>
      </c>
      <c r="L19" s="29">
        <v>1189.7394696746883</v>
      </c>
      <c r="M19" s="29">
        <v>1119.9852707556934</v>
      </c>
      <c r="N19" s="29">
        <v>1049.6199617297348</v>
      </c>
      <c r="O19" s="29">
        <v>983.92669345903323</v>
      </c>
      <c r="P19" s="29">
        <v>857.53408217884862</v>
      </c>
      <c r="Q19" s="29">
        <v>731.18287457967813</v>
      </c>
      <c r="R19" s="29">
        <v>604.66876246301206</v>
      </c>
      <c r="S19" s="29">
        <v>477.93103990603993</v>
      </c>
      <c r="T19" s="29">
        <v>490.63014467988995</v>
      </c>
      <c r="U19" s="29">
        <v>460.15320515125001</v>
      </c>
      <c r="V19" s="29">
        <v>416.32663421921001</v>
      </c>
      <c r="W19" s="29">
        <v>394.20388253223535</v>
      </c>
      <c r="X19" s="29">
        <v>381.18069077336332</v>
      </c>
      <c r="Y19" s="29">
        <v>371.57598720244499</v>
      </c>
      <c r="Z19" s="29">
        <v>345.83386423412117</v>
      </c>
      <c r="AA19" s="29">
        <v>318.14035490505734</v>
      </c>
      <c r="AB19" s="29">
        <v>299.0193946459446</v>
      </c>
      <c r="AC19" s="29">
        <v>313.35820831114586</v>
      </c>
      <c r="AD19" s="29">
        <v>325.17453638098596</v>
      </c>
      <c r="AE19" s="29">
        <v>304.673547605311</v>
      </c>
      <c r="AF19" s="29">
        <v>340.16124362857158</v>
      </c>
      <c r="AG19" s="29">
        <v>307.32821763397618</v>
      </c>
      <c r="AH19" s="168">
        <v>305.46160908011149</v>
      </c>
      <c r="AI19" s="144">
        <v>337.24844425874352</v>
      </c>
      <c r="AJ19" s="29">
        <v>378.72591837851274</v>
      </c>
      <c r="AK19" s="168">
        <v>209.50606750743478</v>
      </c>
      <c r="AL19" s="168">
        <v>199.76991465469001</v>
      </c>
    </row>
    <row r="20" spans="2:38" s="150" customFormat="1" ht="18.75" customHeight="1">
      <c r="B20" s="90"/>
      <c r="C20" s="160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</row>
    <row r="21" spans="2:38" s="10" customFormat="1" ht="18.75" customHeight="1">
      <c r="B21" s="152" t="s">
        <v>10</v>
      </c>
      <c r="C21" s="163" t="s">
        <v>3</v>
      </c>
      <c r="D21" s="166">
        <f>SUMIF(D22:D24,"&lt;1E+307")</f>
        <v>868.13553300281023</v>
      </c>
      <c r="E21" s="166">
        <f t="shared" ref="E21:AE21" si="11">SUMIF(E22:E24,"&lt;1E+307")</f>
        <v>755.64640204965588</v>
      </c>
      <c r="F21" s="166">
        <f t="shared" si="11"/>
        <v>628.870386925925</v>
      </c>
      <c r="G21" s="166">
        <f t="shared" si="11"/>
        <v>622.73568512115196</v>
      </c>
      <c r="H21" s="166">
        <f t="shared" si="11"/>
        <v>579.9603447869373</v>
      </c>
      <c r="I21" s="166">
        <f t="shared" si="11"/>
        <v>577.38883150967865</v>
      </c>
      <c r="J21" s="166">
        <f t="shared" si="11"/>
        <v>602.38105621349666</v>
      </c>
      <c r="K21" s="166">
        <f t="shared" si="11"/>
        <v>581.32081176492852</v>
      </c>
      <c r="L21" s="166">
        <f t="shared" si="11"/>
        <v>503.46209313709971</v>
      </c>
      <c r="M21" s="166">
        <f t="shared" si="11"/>
        <v>476.4399583932755</v>
      </c>
      <c r="N21" s="166">
        <f t="shared" si="11"/>
        <v>472.42412775669817</v>
      </c>
      <c r="O21" s="166">
        <f t="shared" si="11"/>
        <v>520.54380990791037</v>
      </c>
      <c r="P21" s="166">
        <f t="shared" si="11"/>
        <v>490.22250141409546</v>
      </c>
      <c r="Q21" s="166">
        <f t="shared" si="11"/>
        <v>417.47789410852079</v>
      </c>
      <c r="R21" s="166">
        <f t="shared" si="11"/>
        <v>395.48529324198</v>
      </c>
      <c r="S21" s="166">
        <f t="shared" si="11"/>
        <v>401.26497481447825</v>
      </c>
      <c r="T21" s="166">
        <f t="shared" si="11"/>
        <v>438.12112892596184</v>
      </c>
      <c r="U21" s="166">
        <f t="shared" si="11"/>
        <v>358.20165672073642</v>
      </c>
      <c r="V21" s="166">
        <f t="shared" si="11"/>
        <v>438.844694812716</v>
      </c>
      <c r="W21" s="166">
        <f t="shared" si="11"/>
        <v>405.25538581788203</v>
      </c>
      <c r="X21" s="166">
        <f t="shared" si="11"/>
        <v>460.60038048535512</v>
      </c>
      <c r="Y21" s="166">
        <f t="shared" si="11"/>
        <v>405.65802666659204</v>
      </c>
      <c r="Z21" s="166">
        <f t="shared" si="11"/>
        <v>425.39274362395156</v>
      </c>
      <c r="AA21" s="166">
        <f t="shared" si="11"/>
        <v>430.19900395420996</v>
      </c>
      <c r="AB21" s="166">
        <f t="shared" si="11"/>
        <v>370.90095178483563</v>
      </c>
      <c r="AC21" s="166">
        <f t="shared" si="11"/>
        <v>400.00740737136738</v>
      </c>
      <c r="AD21" s="166">
        <f t="shared" si="11"/>
        <v>356.76950891296116</v>
      </c>
      <c r="AE21" s="166">
        <f t="shared" si="11"/>
        <v>357.78563333860211</v>
      </c>
      <c r="AF21" s="166">
        <f t="shared" ref="AF21:AG21" si="12">SUMIF(AF22:AF24,"&lt;1E+307")</f>
        <v>349.74317437811538</v>
      </c>
      <c r="AG21" s="166">
        <f t="shared" si="12"/>
        <v>351.15081620545317</v>
      </c>
      <c r="AH21" s="166">
        <f t="shared" ref="AH21" si="13">SUMIF(AH22:AH24,"&lt;1E+307")</f>
        <v>344.79562686881087</v>
      </c>
      <c r="AI21" s="166">
        <f t="shared" ref="AI21" si="14">SUMIF(AI22:AI24,"&lt;1E+307")</f>
        <v>354.38112467131953</v>
      </c>
      <c r="AJ21" s="166">
        <f t="shared" ref="AJ21:AK21" si="15">SUMIF(AJ22:AJ24,"&lt;1E+307")</f>
        <v>346.77900796293699</v>
      </c>
      <c r="AK21" s="166">
        <f t="shared" si="15"/>
        <v>309.96285295233497</v>
      </c>
      <c r="AL21" s="166">
        <f t="shared" ref="AL21" si="16">SUMIF(AL22:AL24,"&lt;1E+307")</f>
        <v>306.23927471634067</v>
      </c>
    </row>
    <row r="22" spans="2:38" s="150" customFormat="1" ht="18.75" customHeight="1">
      <c r="B22" s="90" t="s">
        <v>72</v>
      </c>
      <c r="C22" s="160" t="s">
        <v>163</v>
      </c>
      <c r="D22" s="167">
        <v>130.28450803027295</v>
      </c>
      <c r="E22" s="167">
        <v>145.66979556412605</v>
      </c>
      <c r="F22" s="167">
        <v>123.42199428731412</v>
      </c>
      <c r="G22" s="167">
        <v>120.53954792126437</v>
      </c>
      <c r="H22" s="167">
        <v>111.0439303037946</v>
      </c>
      <c r="I22" s="167">
        <v>146.90498944667345</v>
      </c>
      <c r="J22" s="167">
        <v>156.42758479572731</v>
      </c>
      <c r="K22" s="167">
        <v>153.39059379619133</v>
      </c>
      <c r="L22" s="167">
        <v>117.70801699799658</v>
      </c>
      <c r="M22" s="167">
        <v>111.58334954349274</v>
      </c>
      <c r="N22" s="167">
        <v>110.49570559112927</v>
      </c>
      <c r="O22" s="167">
        <v>123.36966527475208</v>
      </c>
      <c r="P22" s="167">
        <v>118.8258320731058</v>
      </c>
      <c r="Q22" s="167">
        <v>89.178316862330732</v>
      </c>
      <c r="R22" s="167">
        <v>96.025252012647726</v>
      </c>
      <c r="S22" s="167">
        <v>108.82745930246253</v>
      </c>
      <c r="T22" s="167">
        <v>122.61956619561506</v>
      </c>
      <c r="U22" s="167">
        <v>92.345072815655271</v>
      </c>
      <c r="V22" s="167">
        <v>113.2325326452181</v>
      </c>
      <c r="W22" s="167">
        <v>107.87775178591799</v>
      </c>
      <c r="X22" s="167">
        <v>106.31062633339484</v>
      </c>
      <c r="Y22" s="167">
        <v>97.166413979150363</v>
      </c>
      <c r="Z22" s="167">
        <v>100.37668043234063</v>
      </c>
      <c r="AA22" s="167">
        <v>100.67624746006912</v>
      </c>
      <c r="AB22" s="167">
        <v>94.309920153313413</v>
      </c>
      <c r="AC22" s="167">
        <v>102.60375685432859</v>
      </c>
      <c r="AD22" s="167">
        <v>78.409893882820725</v>
      </c>
      <c r="AE22" s="167">
        <v>81.214569146579436</v>
      </c>
      <c r="AF22" s="167">
        <v>73.845993640922998</v>
      </c>
      <c r="AG22" s="167">
        <v>74.772995768457562</v>
      </c>
      <c r="AH22" s="167">
        <v>73.398797972261846</v>
      </c>
      <c r="AI22" s="167">
        <v>77.088101715510575</v>
      </c>
      <c r="AJ22" s="167">
        <v>70.851280550846894</v>
      </c>
      <c r="AK22" s="167">
        <v>69.707154570611721</v>
      </c>
      <c r="AL22" s="167">
        <v>70.692785254967021</v>
      </c>
    </row>
    <row r="23" spans="2:38" s="150" customFormat="1" ht="18.75" customHeight="1">
      <c r="B23" s="19" t="s">
        <v>17</v>
      </c>
      <c r="C23" s="159" t="s">
        <v>164</v>
      </c>
      <c r="D23" s="168">
        <v>683.70636943266868</v>
      </c>
      <c r="E23" s="168">
        <v>568.73535534390305</v>
      </c>
      <c r="F23" s="168">
        <v>470.85191550890391</v>
      </c>
      <c r="G23" s="168">
        <v>472.71239480333099</v>
      </c>
      <c r="H23" s="168">
        <v>438.70086513203364</v>
      </c>
      <c r="I23" s="168">
        <v>406.4711753942118</v>
      </c>
      <c r="J23" s="168">
        <v>427.04524161086505</v>
      </c>
      <c r="K23" s="168">
        <v>407.92777678811996</v>
      </c>
      <c r="L23" s="168">
        <v>366.04681999559489</v>
      </c>
      <c r="M23" s="168">
        <v>348.87648165910758</v>
      </c>
      <c r="N23" s="168">
        <v>347.57116631363107</v>
      </c>
      <c r="O23" s="168">
        <v>386.27404843883807</v>
      </c>
      <c r="P23" s="168">
        <v>361.7314750643792</v>
      </c>
      <c r="Q23" s="168">
        <v>318.54462684962527</v>
      </c>
      <c r="R23" s="168">
        <v>291.58088702217208</v>
      </c>
      <c r="S23" s="168">
        <v>285.62465811884425</v>
      </c>
      <c r="T23" s="168">
        <v>309.5168827032868</v>
      </c>
      <c r="U23" s="168">
        <v>260.91381400274167</v>
      </c>
      <c r="V23" s="168">
        <v>320.57081946167239</v>
      </c>
      <c r="W23" s="168">
        <v>292.18439592262331</v>
      </c>
      <c r="X23" s="168">
        <v>349.80059632456209</v>
      </c>
      <c r="Y23" s="168">
        <v>304.02020793191792</v>
      </c>
      <c r="Z23" s="168">
        <v>322.18055062490509</v>
      </c>
      <c r="AA23" s="168">
        <v>326.3900885101167</v>
      </c>
      <c r="AB23" s="168">
        <v>273.13826824343022</v>
      </c>
      <c r="AC23" s="168">
        <v>293.74210535974584</v>
      </c>
      <c r="AD23" s="168">
        <v>274.62002950949119</v>
      </c>
      <c r="AE23" s="168">
        <v>274.11425550284025</v>
      </c>
      <c r="AF23" s="168">
        <v>273.81923646503782</v>
      </c>
      <c r="AG23" s="168">
        <v>272.92329185683354</v>
      </c>
      <c r="AH23" s="168">
        <v>268.18251760232351</v>
      </c>
      <c r="AI23" s="168">
        <v>273.2931122233652</v>
      </c>
      <c r="AJ23" s="168">
        <v>272.50770798444552</v>
      </c>
      <c r="AK23" s="168">
        <v>237.00104577183652</v>
      </c>
      <c r="AL23" s="168">
        <v>232.02500679026994</v>
      </c>
    </row>
    <row r="24" spans="2:38" s="150" customFormat="1" ht="18.75" customHeight="1">
      <c r="B24" s="90" t="s">
        <v>73</v>
      </c>
      <c r="C24" s="160" t="s">
        <v>165</v>
      </c>
      <c r="D24" s="167">
        <v>54.144655539868644</v>
      </c>
      <c r="E24" s="167">
        <v>41.241251141626783</v>
      </c>
      <c r="F24" s="167">
        <v>34.596477129706976</v>
      </c>
      <c r="G24" s="167">
        <v>29.483742396556586</v>
      </c>
      <c r="H24" s="167">
        <v>30.2155493511091</v>
      </c>
      <c r="I24" s="167">
        <v>24.012666668793376</v>
      </c>
      <c r="J24" s="167">
        <v>18.908229806904242</v>
      </c>
      <c r="K24" s="167">
        <v>20.002441180617168</v>
      </c>
      <c r="L24" s="167">
        <v>19.707256143508218</v>
      </c>
      <c r="M24" s="167">
        <v>15.980127190675224</v>
      </c>
      <c r="N24" s="167">
        <v>14.357255851937831</v>
      </c>
      <c r="O24" s="167">
        <v>10.900096194320202</v>
      </c>
      <c r="P24" s="167">
        <v>9.6651942766104462</v>
      </c>
      <c r="Q24" s="167">
        <v>9.7549503965647624</v>
      </c>
      <c r="R24" s="167">
        <v>7.8791542071602096</v>
      </c>
      <c r="S24" s="167">
        <v>6.8128573931714769</v>
      </c>
      <c r="T24" s="167">
        <v>5.9846800270599712</v>
      </c>
      <c r="U24" s="167">
        <v>4.942769902339502</v>
      </c>
      <c r="V24" s="167">
        <v>5.0413427058254863</v>
      </c>
      <c r="W24" s="167">
        <v>5.1932381093407338</v>
      </c>
      <c r="X24" s="167">
        <v>4.4891578273981647</v>
      </c>
      <c r="Y24" s="167">
        <v>4.471404755523726</v>
      </c>
      <c r="Z24" s="167">
        <v>2.8355125667058143</v>
      </c>
      <c r="AA24" s="167">
        <v>3.132667984024136</v>
      </c>
      <c r="AB24" s="167">
        <v>3.4527633880920003</v>
      </c>
      <c r="AC24" s="167">
        <v>3.6615451572929567</v>
      </c>
      <c r="AD24" s="167">
        <v>3.7395855206492374</v>
      </c>
      <c r="AE24" s="167">
        <v>2.4568086891823961</v>
      </c>
      <c r="AF24" s="167">
        <v>2.0779442721545833</v>
      </c>
      <c r="AG24" s="167">
        <v>3.4545285801620622</v>
      </c>
      <c r="AH24" s="167">
        <v>3.2143112942255105</v>
      </c>
      <c r="AI24" s="167">
        <v>3.9999107324437642</v>
      </c>
      <c r="AJ24" s="167">
        <v>3.4200194276445903</v>
      </c>
      <c r="AK24" s="167">
        <v>3.2546526098867705</v>
      </c>
      <c r="AL24" s="167">
        <v>3.5214826711037146</v>
      </c>
    </row>
    <row r="25" spans="2:38" s="150" customFormat="1" ht="18.75" customHeight="1">
      <c r="B25" s="19"/>
      <c r="C25" s="159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</row>
    <row r="26" spans="2:38" s="10" customFormat="1" ht="18.75" customHeight="1">
      <c r="B26" s="153" t="s">
        <v>14</v>
      </c>
      <c r="C26" s="22" t="s">
        <v>3</v>
      </c>
      <c r="D26" s="165">
        <f>SUMIF(D27:D30,"&lt;1E+307")</f>
        <v>1169.6388628723466</v>
      </c>
      <c r="E26" s="165">
        <f t="shared" ref="E26:AE26" si="17">SUMIF(E27:E30,"&lt;1E+307")</f>
        <v>1277.7390363460418</v>
      </c>
      <c r="F26" s="165">
        <f t="shared" si="17"/>
        <v>1390.5447350944348</v>
      </c>
      <c r="G26" s="165">
        <f t="shared" si="17"/>
        <v>1497.0277572856369</v>
      </c>
      <c r="H26" s="165">
        <f t="shared" si="17"/>
        <v>1507.0029756108452</v>
      </c>
      <c r="I26" s="165">
        <f t="shared" si="17"/>
        <v>1596.433443078497</v>
      </c>
      <c r="J26" s="165">
        <f t="shared" si="17"/>
        <v>1611.8792244367207</v>
      </c>
      <c r="K26" s="165">
        <f t="shared" si="17"/>
        <v>1599.8645257719647</v>
      </c>
      <c r="L26" s="165">
        <f t="shared" si="17"/>
        <v>1586.8534456820798</v>
      </c>
      <c r="M26" s="165">
        <f t="shared" si="17"/>
        <v>1571.324501326367</v>
      </c>
      <c r="N26" s="165">
        <f t="shared" si="17"/>
        <v>1441.9883910346177</v>
      </c>
      <c r="O26" s="165">
        <f t="shared" si="17"/>
        <v>1385.783190469567</v>
      </c>
      <c r="P26" s="165">
        <f t="shared" si="17"/>
        <v>959.06764343132875</v>
      </c>
      <c r="Q26" s="165">
        <f t="shared" si="17"/>
        <v>881.82059673075912</v>
      </c>
      <c r="R26" s="165">
        <f t="shared" si="17"/>
        <v>823.88505526793745</v>
      </c>
      <c r="S26" s="165">
        <f t="shared" si="17"/>
        <v>773.84611749815872</v>
      </c>
      <c r="T26" s="165">
        <f t="shared" si="17"/>
        <v>786.72910586319176</v>
      </c>
      <c r="U26" s="165">
        <f t="shared" si="17"/>
        <v>785.21755947791974</v>
      </c>
      <c r="V26" s="165">
        <f t="shared" si="17"/>
        <v>841.56897392003714</v>
      </c>
      <c r="W26" s="165">
        <f t="shared" si="17"/>
        <v>848.69647523010872</v>
      </c>
      <c r="X26" s="165">
        <f t="shared" si="17"/>
        <v>906.43922898456833</v>
      </c>
      <c r="Y26" s="165">
        <f t="shared" si="17"/>
        <v>973.6916136370495</v>
      </c>
      <c r="Z26" s="165">
        <f t="shared" si="17"/>
        <v>1045.0886343028383</v>
      </c>
      <c r="AA26" s="165">
        <f t="shared" si="17"/>
        <v>1103.9661181697629</v>
      </c>
      <c r="AB26" s="165">
        <f t="shared" si="17"/>
        <v>1152.8999090117329</v>
      </c>
      <c r="AC26" s="165">
        <f t="shared" si="17"/>
        <v>1204.5931720776066</v>
      </c>
      <c r="AD26" s="165">
        <f t="shared" si="17"/>
        <v>1278.0243028057944</v>
      </c>
      <c r="AE26" s="165">
        <f t="shared" si="17"/>
        <v>1364.1180991072954</v>
      </c>
      <c r="AF26" s="165">
        <f t="shared" ref="AF26:AG26" si="18">SUMIF(AF27:AF30,"&lt;1E+307")</f>
        <v>1443.022530607893</v>
      </c>
      <c r="AG26" s="165">
        <f t="shared" si="18"/>
        <v>1447.922458471319</v>
      </c>
      <c r="AH26" s="165">
        <f t="shared" ref="AH26" si="19">SUMIF(AH27:AH30,"&lt;1E+307")</f>
        <v>1385.8399994406784</v>
      </c>
      <c r="AI26" s="165">
        <f t="shared" ref="AI26" si="20">SUMIF(AI27:AI30,"&lt;1E+307")</f>
        <v>1360.2290547262417</v>
      </c>
      <c r="AJ26" s="165">
        <f t="shared" ref="AJ26:AK26" si="21">SUMIF(AJ27:AJ30,"&lt;1E+307")</f>
        <v>1375.7604826124946</v>
      </c>
      <c r="AK26" s="165">
        <f t="shared" si="21"/>
        <v>1342.8194483506409</v>
      </c>
      <c r="AL26" s="165">
        <f t="shared" ref="AL26" si="22">SUMIF(AL27:AL30,"&lt;1E+307")</f>
        <v>1307.0039068213605</v>
      </c>
    </row>
    <row r="27" spans="2:38" s="150" customFormat="1" ht="18.75" customHeight="1">
      <c r="B27" s="19" t="s">
        <v>4</v>
      </c>
      <c r="C27" s="159" t="s">
        <v>166</v>
      </c>
      <c r="D27" s="168">
        <v>20.683146419809809</v>
      </c>
      <c r="E27" s="168">
        <v>19.930721151868568</v>
      </c>
      <c r="F27" s="168">
        <v>20.271808081170008</v>
      </c>
      <c r="G27" s="168">
        <v>19.375159922080798</v>
      </c>
      <c r="H27" s="168">
        <v>19.212769128521707</v>
      </c>
      <c r="I27" s="168">
        <v>20.16100949480127</v>
      </c>
      <c r="J27" s="168">
        <v>19.408416587153074</v>
      </c>
      <c r="K27" s="168">
        <v>20.377855682624201</v>
      </c>
      <c r="L27" s="168">
        <v>20.444317943672811</v>
      </c>
      <c r="M27" s="168">
        <v>20.809922532633408</v>
      </c>
      <c r="N27" s="168">
        <v>21.88916837465273</v>
      </c>
      <c r="O27" s="168">
        <v>21.148735089369321</v>
      </c>
      <c r="P27" s="168">
        <v>20.194540359393418</v>
      </c>
      <c r="Q27" s="168">
        <v>20.065720365682861</v>
      </c>
      <c r="R27" s="168">
        <v>19.906887491244539</v>
      </c>
      <c r="S27" s="168">
        <v>20.133411697238259</v>
      </c>
      <c r="T27" s="168">
        <v>20.605390933357487</v>
      </c>
      <c r="U27" s="168">
        <v>21.210238662973385</v>
      </c>
      <c r="V27" s="168">
        <v>21.426778869813134</v>
      </c>
      <c r="W27" s="168">
        <v>20.12615744963966</v>
      </c>
      <c r="X27" s="168">
        <v>20.032603634358274</v>
      </c>
      <c r="Y27" s="168">
        <v>20.233387433114054</v>
      </c>
      <c r="Z27" s="168">
        <v>19.242316884837741</v>
      </c>
      <c r="AA27" s="168">
        <v>17.384072119464193</v>
      </c>
      <c r="AB27" s="168">
        <v>17.570014168883684</v>
      </c>
      <c r="AC27" s="168">
        <v>18.333281752801927</v>
      </c>
      <c r="AD27" s="168">
        <v>18.412954932831859</v>
      </c>
      <c r="AE27" s="168">
        <v>17.859624261579491</v>
      </c>
      <c r="AF27" s="168">
        <v>17.794466121930355</v>
      </c>
      <c r="AG27" s="168">
        <v>18.33128414821412</v>
      </c>
      <c r="AH27" s="168">
        <v>8.1973892303375671</v>
      </c>
      <c r="AI27" s="168">
        <v>6.3858846712174007</v>
      </c>
      <c r="AJ27" s="168">
        <v>9.2623788727111318</v>
      </c>
      <c r="AK27" s="168">
        <v>9.6678888954893001</v>
      </c>
      <c r="AL27" s="168">
        <v>9.747817414356664</v>
      </c>
    </row>
    <row r="28" spans="2:38" s="150" customFormat="1" ht="18.75" customHeight="1">
      <c r="B28" s="90" t="s">
        <v>5</v>
      </c>
      <c r="C28" s="160" t="s">
        <v>167</v>
      </c>
      <c r="D28" s="167">
        <v>1123.4424169538643</v>
      </c>
      <c r="E28" s="167">
        <v>1234.5151217981468</v>
      </c>
      <c r="F28" s="167">
        <v>1347.5571974654144</v>
      </c>
      <c r="G28" s="167">
        <v>1455.6139894753276</v>
      </c>
      <c r="H28" s="167">
        <v>1466.4453798607672</v>
      </c>
      <c r="I28" s="167">
        <v>1556.6521223764739</v>
      </c>
      <c r="J28" s="167">
        <v>1574.061055511532</v>
      </c>
      <c r="K28" s="167">
        <v>1562.6545564906285</v>
      </c>
      <c r="L28" s="167">
        <v>1548.763849829239</v>
      </c>
      <c r="M28" s="167">
        <v>1534.1267971242494</v>
      </c>
      <c r="N28" s="167">
        <v>1404.1532712832354</v>
      </c>
      <c r="O28" s="167">
        <v>1348.9456414704696</v>
      </c>
      <c r="P28" s="167">
        <v>923.45766379633858</v>
      </c>
      <c r="Q28" s="167">
        <v>845.03120638401504</v>
      </c>
      <c r="R28" s="167">
        <v>787.77051415070173</v>
      </c>
      <c r="S28" s="167">
        <v>737.8518575707393</v>
      </c>
      <c r="T28" s="167">
        <v>750.54191562324831</v>
      </c>
      <c r="U28" s="167">
        <v>748.86020834480894</v>
      </c>
      <c r="V28" s="167">
        <v>803.96201535186674</v>
      </c>
      <c r="W28" s="167">
        <v>814.58539884964034</v>
      </c>
      <c r="X28" s="167">
        <v>872.31503279425783</v>
      </c>
      <c r="Y28" s="167">
        <v>939.83684142802031</v>
      </c>
      <c r="Z28" s="167">
        <v>1011.8699735621209</v>
      </c>
      <c r="AA28" s="167">
        <v>1072.4261213046755</v>
      </c>
      <c r="AB28" s="167">
        <v>1120.9191962672401</v>
      </c>
      <c r="AC28" s="167">
        <v>1171.6279275901129</v>
      </c>
      <c r="AD28" s="167">
        <v>1244.996538323752</v>
      </c>
      <c r="AE28" s="167">
        <v>1332.2109293406904</v>
      </c>
      <c r="AF28" s="167">
        <v>1410.7947993737259</v>
      </c>
      <c r="AG28" s="167">
        <v>1414.8500676264057</v>
      </c>
      <c r="AH28" s="167">
        <v>1364.0699720039461</v>
      </c>
      <c r="AI28" s="167">
        <v>1340.5853560220737</v>
      </c>
      <c r="AJ28" s="167">
        <v>1354.5890110946102</v>
      </c>
      <c r="AK28" s="167">
        <v>1321.2046392698069</v>
      </c>
      <c r="AL28" s="167">
        <v>1285.2422982832923</v>
      </c>
    </row>
    <row r="29" spans="2:38" s="150" customFormat="1" ht="18.75" customHeight="1">
      <c r="B29" s="19" t="s">
        <v>6</v>
      </c>
      <c r="C29" s="159" t="s">
        <v>168</v>
      </c>
      <c r="D29" s="168">
        <v>6.8324905217311489</v>
      </c>
      <c r="E29" s="168">
        <v>6.1424294386558929</v>
      </c>
      <c r="F29" s="168">
        <v>5.9804206244433979</v>
      </c>
      <c r="G29" s="168">
        <v>5.8757131443860384</v>
      </c>
      <c r="H29" s="168">
        <v>5.4483360659725903</v>
      </c>
      <c r="I29" s="168">
        <v>5.2552982940967281</v>
      </c>
      <c r="J29" s="168">
        <v>4.988860851107332</v>
      </c>
      <c r="K29" s="168">
        <v>4.5400168206664651</v>
      </c>
      <c r="L29" s="168">
        <v>4.2475957284505119</v>
      </c>
      <c r="M29" s="168">
        <v>4.0217469599527815</v>
      </c>
      <c r="N29" s="168">
        <v>4.0313940374397408</v>
      </c>
      <c r="O29" s="168">
        <v>3.6660650346176058</v>
      </c>
      <c r="P29" s="168">
        <v>3.3660704636435685</v>
      </c>
      <c r="Q29" s="168">
        <v>3.3058209930336666</v>
      </c>
      <c r="R29" s="168">
        <v>3.1544703831467404</v>
      </c>
      <c r="S29" s="168">
        <v>2.9781263745488409</v>
      </c>
      <c r="T29" s="168">
        <v>2.7118875099696478</v>
      </c>
      <c r="U29" s="168">
        <v>2.6599548419381644</v>
      </c>
      <c r="V29" s="168">
        <v>2.606919062349502</v>
      </c>
      <c r="W29" s="168">
        <v>2.4112184394502116</v>
      </c>
      <c r="X29" s="168">
        <v>2.4472375702646048</v>
      </c>
      <c r="Y29" s="168">
        <v>2.4796679307597786</v>
      </c>
      <c r="Z29" s="168">
        <v>2.2902671838287754</v>
      </c>
      <c r="AA29" s="168">
        <v>2.3134576819904162</v>
      </c>
      <c r="AB29" s="168">
        <v>2.0791660220340411</v>
      </c>
      <c r="AC29" s="168">
        <v>2.2262093587889766</v>
      </c>
      <c r="AD29" s="168">
        <v>2.2990328639990598</v>
      </c>
      <c r="AE29" s="168">
        <v>1.9216327570138498</v>
      </c>
      <c r="AF29" s="168">
        <v>1.6233906228427499</v>
      </c>
      <c r="AG29" s="168">
        <v>1.8297341137238001</v>
      </c>
      <c r="AH29" s="168">
        <v>1.853239231253238</v>
      </c>
      <c r="AI29" s="168">
        <v>1.8880782752318002</v>
      </c>
      <c r="AJ29" s="168">
        <v>1.7932795951566798</v>
      </c>
      <c r="AK29" s="168">
        <v>1.7299942856183201</v>
      </c>
      <c r="AL29" s="168">
        <v>1.6659852996375866</v>
      </c>
    </row>
    <row r="30" spans="2:38" s="150" customFormat="1" ht="18.75" customHeight="1">
      <c r="B30" s="90" t="s">
        <v>7</v>
      </c>
      <c r="C30" s="160" t="s">
        <v>169</v>
      </c>
      <c r="D30" s="167">
        <v>18.680808976941407</v>
      </c>
      <c r="E30" s="167">
        <v>17.150763957370543</v>
      </c>
      <c r="F30" s="167">
        <v>16.735308923406752</v>
      </c>
      <c r="G30" s="167">
        <v>16.162894743842603</v>
      </c>
      <c r="H30" s="167">
        <v>15.89649055558362</v>
      </c>
      <c r="I30" s="167">
        <v>14.365012913125154</v>
      </c>
      <c r="J30" s="167">
        <v>13.420891486928291</v>
      </c>
      <c r="K30" s="167">
        <v>12.29209677804559</v>
      </c>
      <c r="L30" s="167">
        <v>13.397682180717608</v>
      </c>
      <c r="M30" s="167">
        <v>12.366034709531426</v>
      </c>
      <c r="N30" s="167">
        <v>11.914557339290031</v>
      </c>
      <c r="O30" s="167">
        <v>12.02274887511075</v>
      </c>
      <c r="P30" s="167">
        <v>12.04936881195316</v>
      </c>
      <c r="Q30" s="167">
        <v>13.417848988027524</v>
      </c>
      <c r="R30" s="167">
        <v>13.053183242844437</v>
      </c>
      <c r="S30" s="167">
        <v>12.882721855632335</v>
      </c>
      <c r="T30" s="167">
        <v>12.869911796616236</v>
      </c>
      <c r="U30" s="167">
        <v>12.487157628199164</v>
      </c>
      <c r="V30" s="167">
        <v>13.573260636007872</v>
      </c>
      <c r="W30" s="167">
        <v>11.573700491378577</v>
      </c>
      <c r="X30" s="167">
        <v>11.644354985687638</v>
      </c>
      <c r="Y30" s="167">
        <v>11.141716845155367</v>
      </c>
      <c r="Z30" s="167">
        <v>11.6860766720509</v>
      </c>
      <c r="AA30" s="167">
        <v>11.842467063632794</v>
      </c>
      <c r="AB30" s="167">
        <v>12.33153255357505</v>
      </c>
      <c r="AC30" s="167">
        <v>12.405753375902828</v>
      </c>
      <c r="AD30" s="167">
        <v>12.315776685211349</v>
      </c>
      <c r="AE30" s="167">
        <v>12.125912748011508</v>
      </c>
      <c r="AF30" s="167">
        <v>12.809874489393854</v>
      </c>
      <c r="AG30" s="167">
        <v>12.911372582975501</v>
      </c>
      <c r="AH30" s="167">
        <v>11.719398975141569</v>
      </c>
      <c r="AI30" s="167">
        <v>11.369735757718953</v>
      </c>
      <c r="AJ30" s="167">
        <v>10.115813050016401</v>
      </c>
      <c r="AK30" s="167">
        <v>10.216925899726187</v>
      </c>
      <c r="AL30" s="167">
        <v>10.347805824073896</v>
      </c>
    </row>
    <row r="31" spans="2:38" s="150" customFormat="1" ht="18.75" customHeight="1">
      <c r="B31" s="19"/>
      <c r="C31" s="159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</row>
    <row r="32" spans="2:38" s="10" customFormat="1" ht="18.75" customHeight="1">
      <c r="B32" s="153" t="s">
        <v>15</v>
      </c>
      <c r="C32" s="22" t="s">
        <v>3</v>
      </c>
      <c r="D32" s="165">
        <f>SUMIF(D33:D40,"&lt;1E+307")</f>
        <v>24378.295962442564</v>
      </c>
      <c r="E32" s="165">
        <f t="shared" ref="E32:AG32" si="23">SUMIF(E33:E40,"&lt;1E+307")</f>
        <v>22760.048353229497</v>
      </c>
      <c r="F32" s="165">
        <f t="shared" si="23"/>
        <v>22105.885235462443</v>
      </c>
      <c r="G32" s="165">
        <f t="shared" si="23"/>
        <v>21386.805754306577</v>
      </c>
      <c r="H32" s="165">
        <f t="shared" si="23"/>
        <v>21292.970150140751</v>
      </c>
      <c r="I32" s="165">
        <f t="shared" si="23"/>
        <v>21290.869726206005</v>
      </c>
      <c r="J32" s="165">
        <f t="shared" si="23"/>
        <v>21608.830272075535</v>
      </c>
      <c r="K32" s="165">
        <f t="shared" si="23"/>
        <v>21369.91540574082</v>
      </c>
      <c r="L32" s="165">
        <f t="shared" si="23"/>
        <v>21180.820300265863</v>
      </c>
      <c r="M32" s="165">
        <f t="shared" si="23"/>
        <v>21831.719280687681</v>
      </c>
      <c r="N32" s="165">
        <f t="shared" si="23"/>
        <v>21861.438589838493</v>
      </c>
      <c r="O32" s="165">
        <f t="shared" si="23"/>
        <v>21733.858039393952</v>
      </c>
      <c r="P32" s="165">
        <f t="shared" si="23"/>
        <v>21204.386198527263</v>
      </c>
      <c r="Q32" s="165">
        <f t="shared" si="23"/>
        <v>21511.043964826396</v>
      </c>
      <c r="R32" s="165">
        <f t="shared" si="23"/>
        <v>21205.660617790236</v>
      </c>
      <c r="S32" s="165">
        <f t="shared" si="23"/>
        <v>21452.344450939072</v>
      </c>
      <c r="T32" s="165">
        <f t="shared" si="23"/>
        <v>21198.407318132642</v>
      </c>
      <c r="U32" s="165">
        <f t="shared" si="23"/>
        <v>21319.197009819141</v>
      </c>
      <c r="V32" s="165">
        <f t="shared" si="23"/>
        <v>21356.668215384831</v>
      </c>
      <c r="W32" s="165">
        <f t="shared" si="23"/>
        <v>21551.33936517606</v>
      </c>
      <c r="X32" s="165">
        <f t="shared" si="23"/>
        <v>21452.197536968783</v>
      </c>
      <c r="Y32" s="165">
        <f t="shared" si="23"/>
        <v>21716.001203713597</v>
      </c>
      <c r="Z32" s="165">
        <f t="shared" si="23"/>
        <v>21980.934607893378</v>
      </c>
      <c r="AA32" s="165">
        <f t="shared" si="23"/>
        <v>22155.464384233281</v>
      </c>
      <c r="AB32" s="165">
        <f t="shared" si="23"/>
        <v>22625.513508411797</v>
      </c>
      <c r="AC32" s="165">
        <f t="shared" si="23"/>
        <v>22602.530773987597</v>
      </c>
      <c r="AD32" s="165">
        <f t="shared" si="23"/>
        <v>22545.199503147913</v>
      </c>
      <c r="AE32" s="165">
        <f t="shared" si="23"/>
        <v>21768.797647143889</v>
      </c>
      <c r="AF32" s="165">
        <f t="shared" si="23"/>
        <v>21375.818632454411</v>
      </c>
      <c r="AG32" s="165">
        <f t="shared" si="23"/>
        <v>20697.127943894615</v>
      </c>
      <c r="AH32" s="165">
        <f t="shared" ref="AH32" si="24">SUMIF(AH33:AH40,"&lt;1E+307")</f>
        <v>20147.127433716963</v>
      </c>
      <c r="AI32" s="165">
        <f t="shared" ref="AI32" si="25">SUMIF(AI33:AI40,"&lt;1E+307")</f>
        <v>19375.038676259755</v>
      </c>
      <c r="AJ32" s="165">
        <f t="shared" ref="AJ32:AK32" si="26">SUMIF(AJ33:AJ40,"&lt;1E+307")</f>
        <v>19022.083988587063</v>
      </c>
      <c r="AK32" s="165">
        <f t="shared" si="26"/>
        <v>18367.414396829819</v>
      </c>
      <c r="AL32" s="165">
        <f t="shared" ref="AL32" si="27">SUMIF(AL33:AL40,"&lt;1E+307")</f>
        <v>18282.185808847997</v>
      </c>
    </row>
    <row r="33" spans="2:38" s="150" customFormat="1" ht="18.75" customHeight="1">
      <c r="B33" s="19" t="s">
        <v>18</v>
      </c>
      <c r="C33" s="159" t="s">
        <v>170</v>
      </c>
      <c r="D33" s="168">
        <v>66.837398070433963</v>
      </c>
      <c r="E33" s="168">
        <v>66.570063366075402</v>
      </c>
      <c r="F33" s="168">
        <v>64.187919020285364</v>
      </c>
      <c r="G33" s="168">
        <v>66.414934565817973</v>
      </c>
      <c r="H33" s="168">
        <v>67.902281607664435</v>
      </c>
      <c r="I33" s="168">
        <v>68.353694919334359</v>
      </c>
      <c r="J33" s="168">
        <v>71.761660948409101</v>
      </c>
      <c r="K33" s="168">
        <v>70.559080128804965</v>
      </c>
      <c r="L33" s="168">
        <v>67.945424934829077</v>
      </c>
      <c r="M33" s="168">
        <v>68.834342831652734</v>
      </c>
      <c r="N33" s="168">
        <v>68.192857045290936</v>
      </c>
      <c r="O33" s="168">
        <v>68.000328060803355</v>
      </c>
      <c r="P33" s="168">
        <v>67.282605027933784</v>
      </c>
      <c r="Q33" s="168">
        <v>63.824744000982712</v>
      </c>
      <c r="R33" s="168">
        <v>64.385487766264362</v>
      </c>
      <c r="S33" s="168">
        <v>63.836529578698944</v>
      </c>
      <c r="T33" s="168">
        <v>68.693697885958088</v>
      </c>
      <c r="U33" s="168">
        <v>70.406137913100039</v>
      </c>
      <c r="V33" s="168">
        <v>70.373447596020895</v>
      </c>
      <c r="W33" s="168">
        <v>68.467629541449625</v>
      </c>
      <c r="X33" s="168">
        <v>69.81876903332612</v>
      </c>
      <c r="Y33" s="168">
        <v>72.747580693467214</v>
      </c>
      <c r="Z33" s="168">
        <v>69.465346230309322</v>
      </c>
      <c r="AA33" s="168">
        <v>71.267035592485129</v>
      </c>
      <c r="AB33" s="168">
        <v>73.461299956143677</v>
      </c>
      <c r="AC33" s="168">
        <v>75.550419206720306</v>
      </c>
      <c r="AD33" s="168">
        <v>75.659810612084343</v>
      </c>
      <c r="AE33" s="168">
        <v>75.628688215688712</v>
      </c>
      <c r="AF33" s="168">
        <v>75.546924510815614</v>
      </c>
      <c r="AG33" s="168">
        <v>75.864220749590316</v>
      </c>
      <c r="AH33" s="168">
        <v>77.343797689824385</v>
      </c>
      <c r="AI33" s="168">
        <v>79.677129495933372</v>
      </c>
      <c r="AJ33" s="168">
        <v>78.926979234959802</v>
      </c>
      <c r="AK33" s="168">
        <v>79.209290699339746</v>
      </c>
      <c r="AL33" s="168">
        <v>80.242245204285751</v>
      </c>
    </row>
    <row r="34" spans="2:38" s="150" customFormat="1" ht="18.75" customHeight="1">
      <c r="B34" s="90" t="s">
        <v>30</v>
      </c>
      <c r="C34" s="160" t="s">
        <v>171</v>
      </c>
      <c r="D34" s="167">
        <v>0</v>
      </c>
      <c r="E34" s="167">
        <v>0</v>
      </c>
      <c r="F34" s="167">
        <v>0</v>
      </c>
      <c r="G34" s="167">
        <v>0</v>
      </c>
      <c r="H34" s="167">
        <v>0</v>
      </c>
      <c r="I34" s="167">
        <v>0</v>
      </c>
      <c r="J34" s="167">
        <v>0</v>
      </c>
      <c r="K34" s="167">
        <v>0</v>
      </c>
      <c r="L34" s="167">
        <v>0</v>
      </c>
      <c r="M34" s="167">
        <v>0</v>
      </c>
      <c r="N34" s="167">
        <v>0</v>
      </c>
      <c r="O34" s="167">
        <v>0</v>
      </c>
      <c r="P34" s="167">
        <v>0</v>
      </c>
      <c r="Q34" s="167">
        <v>0</v>
      </c>
      <c r="R34" s="167">
        <v>0</v>
      </c>
      <c r="S34" s="167">
        <v>0</v>
      </c>
      <c r="T34" s="167">
        <v>0</v>
      </c>
      <c r="U34" s="167">
        <v>0</v>
      </c>
      <c r="V34" s="167">
        <v>0</v>
      </c>
      <c r="W34" s="167">
        <v>0</v>
      </c>
      <c r="X34" s="167">
        <v>0</v>
      </c>
      <c r="Y34" s="167">
        <v>0</v>
      </c>
      <c r="Z34" s="167">
        <v>0</v>
      </c>
      <c r="AA34" s="167">
        <v>0</v>
      </c>
      <c r="AB34" s="167">
        <v>0</v>
      </c>
      <c r="AC34" s="167">
        <v>0</v>
      </c>
      <c r="AD34" s="167">
        <v>0</v>
      </c>
      <c r="AE34" s="167">
        <v>0</v>
      </c>
      <c r="AF34" s="167">
        <v>0</v>
      </c>
      <c r="AG34" s="167">
        <v>0</v>
      </c>
      <c r="AH34" s="167">
        <v>0</v>
      </c>
      <c r="AI34" s="167">
        <v>0</v>
      </c>
      <c r="AJ34" s="167">
        <v>0</v>
      </c>
      <c r="AK34" s="167">
        <v>0</v>
      </c>
      <c r="AL34" s="167">
        <v>0</v>
      </c>
    </row>
    <row r="35" spans="2:38" s="150" customFormat="1" ht="18.75" customHeight="1">
      <c r="B35" s="19" t="s">
        <v>31</v>
      </c>
      <c r="C35" s="159" t="s">
        <v>172</v>
      </c>
      <c r="D35" s="168">
        <v>4493.8974058753447</v>
      </c>
      <c r="E35" s="168">
        <v>3997.6717977249086</v>
      </c>
      <c r="F35" s="168">
        <v>3940.3774909547797</v>
      </c>
      <c r="G35" s="168">
        <v>3940.5176637086574</v>
      </c>
      <c r="H35" s="168">
        <v>3922.2567531964369</v>
      </c>
      <c r="I35" s="168">
        <v>3899.6162790896446</v>
      </c>
      <c r="J35" s="168">
        <v>3929.7983217512242</v>
      </c>
      <c r="K35" s="168">
        <v>3825.2157281081099</v>
      </c>
      <c r="L35" s="168">
        <v>3812.8987445173652</v>
      </c>
      <c r="M35" s="168">
        <v>3747.3134358386242</v>
      </c>
      <c r="N35" s="168">
        <v>3760.1532805290822</v>
      </c>
      <c r="O35" s="168">
        <v>3839.3519113940738</v>
      </c>
      <c r="P35" s="168">
        <v>3779.0804571326466</v>
      </c>
      <c r="Q35" s="168">
        <v>3786.4606418330559</v>
      </c>
      <c r="R35" s="168">
        <v>3708.0321645206632</v>
      </c>
      <c r="S35" s="168">
        <v>3750.5016880801249</v>
      </c>
      <c r="T35" s="168">
        <v>3732.0606616007649</v>
      </c>
      <c r="U35" s="168">
        <v>3795.2450104869436</v>
      </c>
      <c r="V35" s="168">
        <v>3782.1460928754109</v>
      </c>
      <c r="W35" s="168">
        <v>3782.8590216531043</v>
      </c>
      <c r="X35" s="168">
        <v>3675.8317411903413</v>
      </c>
      <c r="Y35" s="168">
        <v>3615.3992751710521</v>
      </c>
      <c r="Z35" s="168">
        <v>3586.5701611754657</v>
      </c>
      <c r="AA35" s="168">
        <v>3576.8278901289195</v>
      </c>
      <c r="AB35" s="168">
        <v>3574.1809530796313</v>
      </c>
      <c r="AC35" s="168">
        <v>3526.4499428888839</v>
      </c>
      <c r="AD35" s="168">
        <v>3468.7900203365575</v>
      </c>
      <c r="AE35" s="168">
        <v>3425.2353415003477</v>
      </c>
      <c r="AF35" s="168">
        <v>3342.9405284632699</v>
      </c>
      <c r="AG35" s="168">
        <v>3279.636725773832</v>
      </c>
      <c r="AH35" s="168">
        <v>3218.0284964343355</v>
      </c>
      <c r="AI35" s="168">
        <v>3103.7641920448464</v>
      </c>
      <c r="AJ35" s="168">
        <v>3005.1069666411763</v>
      </c>
      <c r="AK35" s="168">
        <v>3001.518295210431</v>
      </c>
      <c r="AL35" s="168">
        <v>2955.183214399915</v>
      </c>
    </row>
    <row r="36" spans="2:38" s="150" customFormat="1" ht="18.75" customHeight="1">
      <c r="B36" s="90" t="s">
        <v>32</v>
      </c>
      <c r="C36" s="160" t="s">
        <v>173</v>
      </c>
      <c r="D36" s="167">
        <v>19817.454136616543</v>
      </c>
      <c r="E36" s="167">
        <v>18695.549020143164</v>
      </c>
      <c r="F36" s="167">
        <v>18100.974779883192</v>
      </c>
      <c r="G36" s="167">
        <v>17379.427399359796</v>
      </c>
      <c r="H36" s="167">
        <v>17302.266655632462</v>
      </c>
      <c r="I36" s="167">
        <v>17321.588299345316</v>
      </c>
      <c r="J36" s="167">
        <v>17605.10604865905</v>
      </c>
      <c r="K36" s="167">
        <v>17471.426477386707</v>
      </c>
      <c r="L36" s="167">
        <v>17293.895322800545</v>
      </c>
      <c r="M36" s="167">
        <v>18008.712489252775</v>
      </c>
      <c r="N36" s="167">
        <v>18022.285896778572</v>
      </c>
      <c r="O36" s="167">
        <v>17811.28644611693</v>
      </c>
      <c r="P36" s="167">
        <v>17336.314815045156</v>
      </c>
      <c r="Q36" s="167">
        <v>17635.415967330664</v>
      </c>
      <c r="R36" s="167">
        <v>17400.86898877977</v>
      </c>
      <c r="S36" s="167">
        <v>17553.219824361731</v>
      </c>
      <c r="T36" s="167">
        <v>17285.955091250245</v>
      </c>
      <c r="U36" s="167">
        <v>17311.345344889938</v>
      </c>
      <c r="V36" s="167">
        <v>17350.319290274951</v>
      </c>
      <c r="W36" s="167">
        <v>17517.802939490219</v>
      </c>
      <c r="X36" s="167">
        <v>17496.175402670669</v>
      </c>
      <c r="Y36" s="167">
        <v>17789.295957610964</v>
      </c>
      <c r="Z36" s="167">
        <v>18122.976408676626</v>
      </c>
      <c r="AA36" s="167">
        <v>18275.259300764417</v>
      </c>
      <c r="AB36" s="167">
        <v>18747.273325638907</v>
      </c>
      <c r="AC36" s="167">
        <v>18773.874616622939</v>
      </c>
      <c r="AD36" s="167">
        <v>18787.899923786375</v>
      </c>
      <c r="AE36" s="167">
        <v>18070.039503265907</v>
      </c>
      <c r="AF36" s="167">
        <v>17774.482578994455</v>
      </c>
      <c r="AG36" s="167">
        <v>17182.724935337341</v>
      </c>
      <c r="AH36" s="167">
        <v>16713.8935753117</v>
      </c>
      <c r="AI36" s="167">
        <v>16081.349148447898</v>
      </c>
      <c r="AJ36" s="167">
        <v>15815.881925574789</v>
      </c>
      <c r="AK36" s="167">
        <v>15164.51869378391</v>
      </c>
      <c r="AL36" s="167">
        <v>15124.59223210766</v>
      </c>
    </row>
    <row r="37" spans="2:38" s="150" customFormat="1" ht="18.75" customHeight="1">
      <c r="B37" s="19" t="s">
        <v>33</v>
      </c>
      <c r="C37" s="159" t="s">
        <v>174</v>
      </c>
      <c r="D37" s="168">
        <v>0</v>
      </c>
      <c r="E37" s="168">
        <v>0</v>
      </c>
      <c r="F37" s="168">
        <v>0</v>
      </c>
      <c r="G37" s="168">
        <v>0</v>
      </c>
      <c r="H37" s="168">
        <v>0</v>
      </c>
      <c r="I37" s="168">
        <v>0</v>
      </c>
      <c r="J37" s="168">
        <v>0</v>
      </c>
      <c r="K37" s="168">
        <v>0</v>
      </c>
      <c r="L37" s="168">
        <v>0</v>
      </c>
      <c r="M37" s="168">
        <v>0</v>
      </c>
      <c r="N37" s="168">
        <v>0</v>
      </c>
      <c r="O37" s="168">
        <v>0</v>
      </c>
      <c r="P37" s="168">
        <v>0</v>
      </c>
      <c r="Q37" s="168">
        <v>0</v>
      </c>
      <c r="R37" s="168">
        <v>0</v>
      </c>
      <c r="S37" s="168">
        <v>0</v>
      </c>
      <c r="T37" s="168">
        <v>0</v>
      </c>
      <c r="U37" s="168">
        <v>0</v>
      </c>
      <c r="V37" s="168">
        <v>0</v>
      </c>
      <c r="W37" s="168">
        <v>0</v>
      </c>
      <c r="X37" s="168">
        <v>0</v>
      </c>
      <c r="Y37" s="168">
        <v>0</v>
      </c>
      <c r="Z37" s="168">
        <v>0</v>
      </c>
      <c r="AA37" s="168">
        <v>0</v>
      </c>
      <c r="AB37" s="168">
        <v>0</v>
      </c>
      <c r="AC37" s="168">
        <v>0</v>
      </c>
      <c r="AD37" s="168">
        <v>0</v>
      </c>
      <c r="AE37" s="168">
        <v>0</v>
      </c>
      <c r="AF37" s="168">
        <v>0</v>
      </c>
      <c r="AG37" s="168">
        <v>0</v>
      </c>
      <c r="AH37" s="168">
        <v>0</v>
      </c>
      <c r="AI37" s="168">
        <v>0</v>
      </c>
      <c r="AJ37" s="168">
        <v>0</v>
      </c>
      <c r="AK37" s="168">
        <v>0</v>
      </c>
      <c r="AL37" s="168">
        <v>0</v>
      </c>
    </row>
    <row r="38" spans="2:38" s="150" customFormat="1" ht="18.75" customHeight="1">
      <c r="B38" s="90" t="s">
        <v>34</v>
      </c>
      <c r="C38" s="160" t="s">
        <v>175</v>
      </c>
      <c r="D38" s="167">
        <v>0</v>
      </c>
      <c r="E38" s="167">
        <v>0</v>
      </c>
      <c r="F38" s="167">
        <v>0</v>
      </c>
      <c r="G38" s="167">
        <v>0</v>
      </c>
      <c r="H38" s="167">
        <v>0</v>
      </c>
      <c r="I38" s="167">
        <v>0</v>
      </c>
      <c r="J38" s="167">
        <v>0</v>
      </c>
      <c r="K38" s="167">
        <v>0</v>
      </c>
      <c r="L38" s="167">
        <v>0</v>
      </c>
      <c r="M38" s="167">
        <v>0</v>
      </c>
      <c r="N38" s="167">
        <v>0</v>
      </c>
      <c r="O38" s="167">
        <v>0</v>
      </c>
      <c r="P38" s="167">
        <v>0</v>
      </c>
      <c r="Q38" s="167">
        <v>0</v>
      </c>
      <c r="R38" s="167">
        <v>0</v>
      </c>
      <c r="S38" s="167">
        <v>0</v>
      </c>
      <c r="T38" s="167">
        <v>0</v>
      </c>
      <c r="U38" s="167">
        <v>0</v>
      </c>
      <c r="V38" s="167">
        <v>0</v>
      </c>
      <c r="W38" s="167">
        <v>0</v>
      </c>
      <c r="X38" s="167">
        <v>0</v>
      </c>
      <c r="Y38" s="167">
        <v>0</v>
      </c>
      <c r="Z38" s="167">
        <v>0</v>
      </c>
      <c r="AA38" s="167">
        <v>0</v>
      </c>
      <c r="AB38" s="167">
        <v>0</v>
      </c>
      <c r="AC38" s="167">
        <v>0</v>
      </c>
      <c r="AD38" s="167">
        <v>0</v>
      </c>
      <c r="AE38" s="167">
        <v>0</v>
      </c>
      <c r="AF38" s="167">
        <v>0</v>
      </c>
      <c r="AG38" s="167">
        <v>0</v>
      </c>
      <c r="AH38" s="167">
        <v>0</v>
      </c>
      <c r="AI38" s="167">
        <v>0</v>
      </c>
      <c r="AJ38" s="167">
        <v>0</v>
      </c>
      <c r="AK38" s="167">
        <v>0</v>
      </c>
      <c r="AL38" s="167">
        <v>0</v>
      </c>
    </row>
    <row r="39" spans="2:38" s="150" customFormat="1" ht="18.75" customHeight="1">
      <c r="B39" s="19" t="s">
        <v>35</v>
      </c>
      <c r="C39" s="159" t="s">
        <v>176</v>
      </c>
      <c r="D39" s="168">
        <v>0</v>
      </c>
      <c r="E39" s="168">
        <v>0</v>
      </c>
      <c r="F39" s="168">
        <v>0</v>
      </c>
      <c r="G39" s="168">
        <v>0</v>
      </c>
      <c r="H39" s="168">
        <v>0</v>
      </c>
      <c r="I39" s="168">
        <v>0</v>
      </c>
      <c r="J39" s="168">
        <v>0</v>
      </c>
      <c r="K39" s="168">
        <v>0</v>
      </c>
      <c r="L39" s="168">
        <v>0</v>
      </c>
      <c r="M39" s="168">
        <v>0</v>
      </c>
      <c r="N39" s="168">
        <v>0</v>
      </c>
      <c r="O39" s="168">
        <v>0</v>
      </c>
      <c r="P39" s="168">
        <v>0</v>
      </c>
      <c r="Q39" s="168">
        <v>0</v>
      </c>
      <c r="R39" s="168">
        <v>0</v>
      </c>
      <c r="S39" s="168">
        <v>0</v>
      </c>
      <c r="T39" s="168">
        <v>0</v>
      </c>
      <c r="U39" s="168">
        <v>0</v>
      </c>
      <c r="V39" s="168">
        <v>0</v>
      </c>
      <c r="W39" s="168">
        <v>0</v>
      </c>
      <c r="X39" s="168">
        <v>0</v>
      </c>
      <c r="Y39" s="168">
        <v>0</v>
      </c>
      <c r="Z39" s="168">
        <v>0</v>
      </c>
      <c r="AA39" s="168">
        <v>0</v>
      </c>
      <c r="AB39" s="168">
        <v>0</v>
      </c>
      <c r="AC39" s="168">
        <v>0</v>
      </c>
      <c r="AD39" s="168">
        <v>0</v>
      </c>
      <c r="AE39" s="168">
        <v>0</v>
      </c>
      <c r="AF39" s="168">
        <v>0</v>
      </c>
      <c r="AG39" s="168">
        <v>0</v>
      </c>
      <c r="AH39" s="168">
        <v>0</v>
      </c>
      <c r="AI39" s="168">
        <v>0</v>
      </c>
      <c r="AJ39" s="168">
        <v>0</v>
      </c>
      <c r="AK39" s="168">
        <v>0</v>
      </c>
      <c r="AL39" s="168">
        <v>0</v>
      </c>
    </row>
    <row r="40" spans="2:38" s="150" customFormat="1" ht="18.75" customHeight="1">
      <c r="B40" s="90" t="s">
        <v>36</v>
      </c>
      <c r="C40" s="160" t="s">
        <v>177</v>
      </c>
      <c r="D40" s="167">
        <v>0.10702188024022853</v>
      </c>
      <c r="E40" s="167">
        <v>0.25747199534902143</v>
      </c>
      <c r="F40" s="167">
        <v>0.34504560418747687</v>
      </c>
      <c r="G40" s="167">
        <v>0.44575667230669719</v>
      </c>
      <c r="H40" s="167">
        <v>0.54445970418433065</v>
      </c>
      <c r="I40" s="167">
        <v>1.3114528517122936</v>
      </c>
      <c r="J40" s="167">
        <v>2.1642407168519648</v>
      </c>
      <c r="K40" s="167">
        <v>2.7141201171973246</v>
      </c>
      <c r="L40" s="167">
        <v>6.0808080131237245</v>
      </c>
      <c r="M40" s="167">
        <v>6.8590127646265007</v>
      </c>
      <c r="N40" s="167">
        <v>10.806555485549723</v>
      </c>
      <c r="O40" s="167">
        <v>15.219353822144772</v>
      </c>
      <c r="P40" s="167">
        <v>21.708321321525524</v>
      </c>
      <c r="Q40" s="167">
        <v>25.34261166169529</v>
      </c>
      <c r="R40" s="167">
        <v>32.37397672353687</v>
      </c>
      <c r="S40" s="167">
        <v>84.786408918515562</v>
      </c>
      <c r="T40" s="167">
        <v>111.69786739567161</v>
      </c>
      <c r="U40" s="167">
        <v>142.20051652916021</v>
      </c>
      <c r="V40" s="167">
        <v>153.82938463844908</v>
      </c>
      <c r="W40" s="167">
        <v>182.20977449128711</v>
      </c>
      <c r="X40" s="167">
        <v>210.37162407444669</v>
      </c>
      <c r="Y40" s="167">
        <v>238.55839023811143</v>
      </c>
      <c r="Z40" s="167">
        <v>201.92269181097538</v>
      </c>
      <c r="AA40" s="167">
        <v>232.11015774745786</v>
      </c>
      <c r="AB40" s="167">
        <v>230.597929737116</v>
      </c>
      <c r="AC40" s="167">
        <v>226.65579526905341</v>
      </c>
      <c r="AD40" s="167">
        <v>212.8497484128948</v>
      </c>
      <c r="AE40" s="167">
        <v>197.8941141619417</v>
      </c>
      <c r="AF40" s="167">
        <v>182.84860048587007</v>
      </c>
      <c r="AG40" s="167">
        <v>158.90206203385131</v>
      </c>
      <c r="AH40" s="167">
        <v>137.86156428110073</v>
      </c>
      <c r="AI40" s="167">
        <v>110.24820627107741</v>
      </c>
      <c r="AJ40" s="167">
        <v>122.16811713613674</v>
      </c>
      <c r="AK40" s="167">
        <v>122.16811713613674</v>
      </c>
      <c r="AL40" s="167">
        <v>122.16811713613674</v>
      </c>
    </row>
    <row r="41" spans="2:38" s="150" customFormat="1" ht="18.75" customHeight="1">
      <c r="B41" s="19"/>
      <c r="C41" s="159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</row>
    <row r="42" spans="2:38" s="10" customFormat="1" ht="18.75" customHeight="1">
      <c r="B42" s="153" t="s">
        <v>16</v>
      </c>
      <c r="C42" s="22" t="s">
        <v>3</v>
      </c>
      <c r="D42" s="165">
        <f>SUMIF(D43:D46,"&lt;1E+307")</f>
        <v>563.5481968244344</v>
      </c>
      <c r="E42" s="165">
        <f t="shared" ref="E42:AE42" si="28">SUMIF(E43:E46,"&lt;1E+307")</f>
        <v>638.6431053685784</v>
      </c>
      <c r="F42" s="165">
        <f t="shared" si="28"/>
        <v>717.09277475318481</v>
      </c>
      <c r="G42" s="165">
        <f t="shared" si="28"/>
        <v>788.86490553746239</v>
      </c>
      <c r="H42" s="165">
        <f t="shared" si="28"/>
        <v>865.7491748679538</v>
      </c>
      <c r="I42" s="165">
        <f t="shared" si="28"/>
        <v>948.13441643929775</v>
      </c>
      <c r="J42" s="165">
        <f t="shared" si="28"/>
        <v>1028.9469918180123</v>
      </c>
      <c r="K42" s="165">
        <f t="shared" si="28"/>
        <v>1102.0444020691402</v>
      </c>
      <c r="L42" s="165">
        <f t="shared" si="28"/>
        <v>1174.9544901545762</v>
      </c>
      <c r="M42" s="165">
        <f t="shared" si="28"/>
        <v>1234.3112435281721</v>
      </c>
      <c r="N42" s="165">
        <f t="shared" si="28"/>
        <v>1296.8313438401876</v>
      </c>
      <c r="O42" s="165">
        <f t="shared" si="28"/>
        <v>1327.363132626785</v>
      </c>
      <c r="P42" s="165">
        <f t="shared" si="28"/>
        <v>1364.7411719258851</v>
      </c>
      <c r="Q42" s="165">
        <f t="shared" si="28"/>
        <v>1374.3399431909347</v>
      </c>
      <c r="R42" s="165">
        <f t="shared" si="28"/>
        <v>1393.4894080543204</v>
      </c>
      <c r="S42" s="165">
        <f t="shared" si="28"/>
        <v>1501.7999310154376</v>
      </c>
      <c r="T42" s="165">
        <f t="shared" si="28"/>
        <v>1309.1460422058742</v>
      </c>
      <c r="U42" s="165">
        <f t="shared" si="28"/>
        <v>1324.7801352787055</v>
      </c>
      <c r="V42" s="165">
        <f t="shared" si="28"/>
        <v>1325.4893594844978</v>
      </c>
      <c r="W42" s="165">
        <f t="shared" si="28"/>
        <v>1330.6013105048539</v>
      </c>
      <c r="X42" s="165">
        <f t="shared" si="28"/>
        <v>1332.2664720464936</v>
      </c>
      <c r="Y42" s="165">
        <f t="shared" si="28"/>
        <v>1348.6594398325778</v>
      </c>
      <c r="Z42" s="165">
        <f t="shared" si="28"/>
        <v>1353.3899748922108</v>
      </c>
      <c r="AA42" s="165">
        <f t="shared" si="28"/>
        <v>1353.1503869989842</v>
      </c>
      <c r="AB42" s="165">
        <f t="shared" si="28"/>
        <v>1361.9125683699183</v>
      </c>
      <c r="AC42" s="165">
        <f t="shared" si="28"/>
        <v>1364.622525940586</v>
      </c>
      <c r="AD42" s="165">
        <f t="shared" si="28"/>
        <v>1365.5039478740459</v>
      </c>
      <c r="AE42" s="165">
        <f t="shared" si="28"/>
        <v>1374.1288611654534</v>
      </c>
      <c r="AF42" s="165">
        <f t="shared" ref="AF42:AG42" si="29">SUMIF(AF43:AF46,"&lt;1E+307")</f>
        <v>1369.3242524402799</v>
      </c>
      <c r="AG42" s="165">
        <f t="shared" si="29"/>
        <v>1374.7434554801168</v>
      </c>
      <c r="AH42" s="165">
        <f t="shared" ref="AH42" si="30">SUMIF(AH43:AH46,"&lt;1E+307")</f>
        <v>1376.4984827845617</v>
      </c>
      <c r="AI42" s="165">
        <f t="shared" ref="AI42" si="31">SUMIF(AI43:AI46,"&lt;1E+307")</f>
        <v>1388.3382189654103</v>
      </c>
      <c r="AJ42" s="165">
        <f t="shared" ref="AJ42:AK42" si="32">SUMIF(AJ43:AJ46,"&lt;1E+307")</f>
        <v>1375.867058201947</v>
      </c>
      <c r="AK42" s="165">
        <f t="shared" si="32"/>
        <v>1379.1695338957234</v>
      </c>
      <c r="AL42" s="165">
        <f t="shared" ref="AL42" si="33">SUMIF(AL43:AL46,"&lt;1E+307")</f>
        <v>1384.5952538188208</v>
      </c>
    </row>
    <row r="43" spans="2:38" s="150" customFormat="1" ht="18.75" customHeight="1">
      <c r="B43" s="19" t="s">
        <v>19</v>
      </c>
      <c r="C43" s="159" t="s">
        <v>178</v>
      </c>
      <c r="D43" s="168">
        <v>0</v>
      </c>
      <c r="E43" s="168">
        <v>0</v>
      </c>
      <c r="F43" s="168">
        <v>0</v>
      </c>
      <c r="G43" s="168">
        <v>0</v>
      </c>
      <c r="H43" s="168">
        <v>0</v>
      </c>
      <c r="I43" s="168">
        <v>0</v>
      </c>
      <c r="J43" s="168">
        <v>0</v>
      </c>
      <c r="K43" s="168">
        <v>0</v>
      </c>
      <c r="L43" s="168">
        <v>0</v>
      </c>
      <c r="M43" s="168">
        <v>0</v>
      </c>
      <c r="N43" s="168">
        <v>0</v>
      </c>
      <c r="O43" s="168">
        <v>0</v>
      </c>
      <c r="P43" s="168">
        <v>0</v>
      </c>
      <c r="Q43" s="168">
        <v>0</v>
      </c>
      <c r="R43" s="168">
        <v>0</v>
      </c>
      <c r="S43" s="168">
        <v>0</v>
      </c>
      <c r="T43" s="168">
        <v>0</v>
      </c>
      <c r="U43" s="168">
        <v>0</v>
      </c>
      <c r="V43" s="168">
        <v>0</v>
      </c>
      <c r="W43" s="168">
        <v>0</v>
      </c>
      <c r="X43" s="168">
        <v>0</v>
      </c>
      <c r="Y43" s="168">
        <v>0</v>
      </c>
      <c r="Z43" s="168">
        <v>0</v>
      </c>
      <c r="AA43" s="168">
        <v>0</v>
      </c>
      <c r="AB43" s="168">
        <v>0</v>
      </c>
      <c r="AC43" s="168">
        <v>0</v>
      </c>
      <c r="AD43" s="168">
        <v>0</v>
      </c>
      <c r="AE43" s="168">
        <v>0</v>
      </c>
      <c r="AF43" s="168">
        <v>0</v>
      </c>
      <c r="AG43" s="168">
        <v>0</v>
      </c>
      <c r="AH43" s="168">
        <v>0</v>
      </c>
      <c r="AI43" s="168">
        <v>0</v>
      </c>
      <c r="AJ43" s="168">
        <v>0</v>
      </c>
      <c r="AK43" s="168">
        <v>0</v>
      </c>
      <c r="AL43" s="168">
        <v>0</v>
      </c>
    </row>
    <row r="44" spans="2:38" s="150" customFormat="1" ht="18.75" customHeight="1">
      <c r="B44" s="90" t="s">
        <v>74</v>
      </c>
      <c r="C44" s="160" t="s">
        <v>179</v>
      </c>
      <c r="D44" s="167">
        <v>19.672274999999999</v>
      </c>
      <c r="E44" s="167">
        <v>23.489864999999998</v>
      </c>
      <c r="F44" s="167">
        <v>27.307454999999997</v>
      </c>
      <c r="G44" s="167">
        <v>31.125045</v>
      </c>
      <c r="H44" s="167">
        <v>49.117930994999995</v>
      </c>
      <c r="I44" s="167">
        <v>67.110804004999977</v>
      </c>
      <c r="J44" s="167">
        <v>85.10369</v>
      </c>
      <c r="K44" s="167">
        <v>93.673789999999997</v>
      </c>
      <c r="L44" s="167">
        <v>100.06287136500001</v>
      </c>
      <c r="M44" s="167">
        <v>113.44045481999999</v>
      </c>
      <c r="N44" s="167">
        <v>128.16922159999999</v>
      </c>
      <c r="O44" s="167">
        <v>126.95686674</v>
      </c>
      <c r="P44" s="167">
        <v>147.05442274999999</v>
      </c>
      <c r="Q44" s="167">
        <v>146.34072872500002</v>
      </c>
      <c r="R44" s="167">
        <v>146.98234486999999</v>
      </c>
      <c r="S44" s="167">
        <v>145.44257456</v>
      </c>
      <c r="T44" s="167">
        <v>146.39798541999997</v>
      </c>
      <c r="U44" s="167">
        <v>155.11061513999996</v>
      </c>
      <c r="V44" s="167">
        <v>152.32696822</v>
      </c>
      <c r="W44" s="167">
        <v>153.8920296</v>
      </c>
      <c r="X44" s="167">
        <v>152.52915686</v>
      </c>
      <c r="Y44" s="167">
        <v>165.66537328000001</v>
      </c>
      <c r="Z44" s="167">
        <v>171.02173983999995</v>
      </c>
      <c r="AA44" s="167">
        <v>170.76050601999998</v>
      </c>
      <c r="AB44" s="167">
        <v>178.48387165999998</v>
      </c>
      <c r="AC44" s="167">
        <v>179.74331383999998</v>
      </c>
      <c r="AD44" s="167">
        <v>183.73262913999997</v>
      </c>
      <c r="AE44" s="167">
        <v>187.050038</v>
      </c>
      <c r="AF44" s="167">
        <v>180.86721699999998</v>
      </c>
      <c r="AG44" s="167">
        <v>183.51279149999999</v>
      </c>
      <c r="AH44" s="167">
        <v>185.0207475</v>
      </c>
      <c r="AI44" s="167">
        <v>194.67999749999998</v>
      </c>
      <c r="AJ44" s="167">
        <v>189.61278091999998</v>
      </c>
      <c r="AK44" s="167">
        <v>191.646107105</v>
      </c>
      <c r="AL44" s="167">
        <v>196.60449825499998</v>
      </c>
    </row>
    <row r="45" spans="2:38" s="150" customFormat="1" ht="18.75" customHeight="1">
      <c r="B45" s="19" t="s">
        <v>20</v>
      </c>
      <c r="C45" s="159" t="s">
        <v>180</v>
      </c>
      <c r="D45" s="168">
        <v>543.87592182443439</v>
      </c>
      <c r="E45" s="168">
        <v>615.15324036857839</v>
      </c>
      <c r="F45" s="168">
        <v>689.78531975318481</v>
      </c>
      <c r="G45" s="168">
        <v>757.73986053746239</v>
      </c>
      <c r="H45" s="168">
        <v>816.63124387295375</v>
      </c>
      <c r="I45" s="168">
        <v>871.38158743429778</v>
      </c>
      <c r="J45" s="168">
        <v>923.75448781351224</v>
      </c>
      <c r="K45" s="168">
        <v>977.0305267042653</v>
      </c>
      <c r="L45" s="168">
        <v>1031.495310294076</v>
      </c>
      <c r="M45" s="168">
        <v>1064.613493077547</v>
      </c>
      <c r="N45" s="168">
        <v>1092.8424153244027</v>
      </c>
      <c r="O45" s="168">
        <v>1115.8117034046577</v>
      </c>
      <c r="P45" s="168">
        <v>1116.5548654258851</v>
      </c>
      <c r="Q45" s="168">
        <v>1116.9179885284348</v>
      </c>
      <c r="R45" s="168">
        <v>1119.7707138093206</v>
      </c>
      <c r="S45" s="168">
        <v>1127.5523814554376</v>
      </c>
      <c r="T45" s="168">
        <v>1132.9859120858744</v>
      </c>
      <c r="U45" s="168">
        <v>1139.5741511887056</v>
      </c>
      <c r="V45" s="168">
        <v>1141.3832361644977</v>
      </c>
      <c r="W45" s="168">
        <v>1144.2484212548541</v>
      </c>
      <c r="X45" s="168">
        <v>1146.3843780864936</v>
      </c>
      <c r="Y45" s="168">
        <v>1147.0692806025779</v>
      </c>
      <c r="Z45" s="168">
        <v>1148.1216146022109</v>
      </c>
      <c r="AA45" s="168">
        <v>1148.9341662789843</v>
      </c>
      <c r="AB45" s="168">
        <v>1149.6461813599183</v>
      </c>
      <c r="AC45" s="168">
        <v>1151.9759270005861</v>
      </c>
      <c r="AD45" s="168">
        <v>1150.0716556840459</v>
      </c>
      <c r="AE45" s="168">
        <v>1156.3820446654533</v>
      </c>
      <c r="AF45" s="168">
        <v>1158.1793968402799</v>
      </c>
      <c r="AG45" s="168">
        <v>1161.1650041801167</v>
      </c>
      <c r="AH45" s="168">
        <v>1161.9331900345617</v>
      </c>
      <c r="AI45" s="168">
        <v>1164.8226810654105</v>
      </c>
      <c r="AJ45" s="168">
        <v>1158.6641123319471</v>
      </c>
      <c r="AK45" s="168">
        <v>1161.1786372907234</v>
      </c>
      <c r="AL45" s="168">
        <v>1162.8913415138209</v>
      </c>
    </row>
    <row r="46" spans="2:38" s="150" customFormat="1" ht="18.75" customHeight="1">
      <c r="B46" s="90" t="s">
        <v>29</v>
      </c>
      <c r="C46" s="160" t="s">
        <v>181</v>
      </c>
      <c r="D46" s="167">
        <v>0</v>
      </c>
      <c r="E46" s="167">
        <v>0</v>
      </c>
      <c r="F46" s="167">
        <v>0</v>
      </c>
      <c r="G46" s="167">
        <v>0</v>
      </c>
      <c r="H46" s="167">
        <v>0</v>
      </c>
      <c r="I46" s="167">
        <v>9.6420250000000003</v>
      </c>
      <c r="J46" s="167">
        <v>20.088814004500001</v>
      </c>
      <c r="K46" s="167">
        <v>31.340085364875002</v>
      </c>
      <c r="L46" s="167">
        <v>43.396308495499994</v>
      </c>
      <c r="M46" s="167">
        <v>56.257295630625002</v>
      </c>
      <c r="N46" s="167">
        <v>75.819706915784991</v>
      </c>
      <c r="O46" s="167">
        <v>84.5945624821275</v>
      </c>
      <c r="P46" s="167">
        <v>101.13188375</v>
      </c>
      <c r="Q46" s="167">
        <v>111.08122593749999</v>
      </c>
      <c r="R46" s="167">
        <v>126.73634937499999</v>
      </c>
      <c r="S46" s="167">
        <v>228.80497500000001</v>
      </c>
      <c r="T46" s="167">
        <v>29.762144699999997</v>
      </c>
      <c r="U46" s="167">
        <v>30.095368950000001</v>
      </c>
      <c r="V46" s="167">
        <v>31.779155099999997</v>
      </c>
      <c r="W46" s="167">
        <v>32.460859649999996</v>
      </c>
      <c r="X46" s="167">
        <v>33.352937099999998</v>
      </c>
      <c r="Y46" s="167">
        <v>35.92478595</v>
      </c>
      <c r="Z46" s="167">
        <v>34.246620450000002</v>
      </c>
      <c r="AA46" s="167">
        <v>33.455714699999994</v>
      </c>
      <c r="AB46" s="167">
        <v>33.782515349999997</v>
      </c>
      <c r="AC46" s="167">
        <v>32.903285099999998</v>
      </c>
      <c r="AD46" s="167">
        <v>31.699663049999995</v>
      </c>
      <c r="AE46" s="167">
        <v>30.696778500000001</v>
      </c>
      <c r="AF46" s="167">
        <v>30.2776386</v>
      </c>
      <c r="AG46" s="167">
        <v>30.065659799999999</v>
      </c>
      <c r="AH46" s="167">
        <v>29.544545249999999</v>
      </c>
      <c r="AI46" s="167">
        <v>28.835540399999992</v>
      </c>
      <c r="AJ46" s="167">
        <v>27.590164949999998</v>
      </c>
      <c r="AK46" s="167">
        <v>26.344789499999997</v>
      </c>
      <c r="AL46" s="167">
        <v>25.09941405</v>
      </c>
    </row>
    <row r="47" spans="2:38" s="150" customFormat="1" ht="18.75" customHeight="1">
      <c r="B47" s="19"/>
      <c r="C47" s="159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</row>
    <row r="48" spans="2:38" s="10" customFormat="1" ht="18.75" customHeight="1">
      <c r="B48" s="153" t="s">
        <v>128</v>
      </c>
      <c r="C48" s="22" t="s">
        <v>3</v>
      </c>
      <c r="D48" s="165">
        <f>SUMIF(D49:D54,"&lt;1E+307")</f>
        <v>809.22092009325354</v>
      </c>
      <c r="E48" s="165">
        <f t="shared" ref="E48:AJ48" si="34">SUMIF(E49:E54,"&lt;1E+307")</f>
        <v>826.97467999290041</v>
      </c>
      <c r="F48" s="165">
        <f t="shared" si="34"/>
        <v>837.35316373621811</v>
      </c>
      <c r="G48" s="165">
        <f t="shared" si="34"/>
        <v>766.55393534804091</v>
      </c>
      <c r="H48" s="165">
        <f t="shared" si="34"/>
        <v>794.44796161797126</v>
      </c>
      <c r="I48" s="165">
        <f t="shared" si="34"/>
        <v>798.23777003903206</v>
      </c>
      <c r="J48" s="165">
        <f t="shared" si="34"/>
        <v>827.94974456112527</v>
      </c>
      <c r="K48" s="165">
        <f t="shared" si="34"/>
        <v>823.3237547526636</v>
      </c>
      <c r="L48" s="165">
        <f t="shared" si="34"/>
        <v>734.39186112911261</v>
      </c>
      <c r="M48" s="165">
        <f t="shared" si="34"/>
        <v>805.65777415010871</v>
      </c>
      <c r="N48" s="165">
        <f t="shared" si="34"/>
        <v>800.29425555591604</v>
      </c>
      <c r="O48" s="165">
        <f t="shared" si="34"/>
        <v>910.53903097730529</v>
      </c>
      <c r="P48" s="165">
        <f t="shared" si="34"/>
        <v>895.56344348823677</v>
      </c>
      <c r="Q48" s="165">
        <f t="shared" si="34"/>
        <v>1018.1189129242146</v>
      </c>
      <c r="R48" s="165">
        <f t="shared" si="34"/>
        <v>970.56384677052915</v>
      </c>
      <c r="S48" s="165">
        <f t="shared" si="34"/>
        <v>995.29624176730465</v>
      </c>
      <c r="T48" s="165">
        <f t="shared" si="34"/>
        <v>956.97101872907797</v>
      </c>
      <c r="U48" s="165">
        <f t="shared" si="34"/>
        <v>893.86663782521123</v>
      </c>
      <c r="V48" s="165">
        <f t="shared" si="34"/>
        <v>959.3931918129739</v>
      </c>
      <c r="W48" s="165">
        <f t="shared" si="34"/>
        <v>925.34140749557901</v>
      </c>
      <c r="X48" s="165">
        <f t="shared" si="34"/>
        <v>908.72697543148365</v>
      </c>
      <c r="Y48" s="165">
        <f t="shared" si="34"/>
        <v>903.87661874296475</v>
      </c>
      <c r="Z48" s="165">
        <f t="shared" si="34"/>
        <v>936.80730781459738</v>
      </c>
      <c r="AA48" s="165">
        <f t="shared" si="34"/>
        <v>949.4778182435673</v>
      </c>
      <c r="AB48" s="165">
        <f t="shared" si="34"/>
        <v>1015.6190322903019</v>
      </c>
      <c r="AC48" s="165">
        <f t="shared" si="34"/>
        <v>1002.3571345801067</v>
      </c>
      <c r="AD48" s="165">
        <f t="shared" si="34"/>
        <v>976.99415400214923</v>
      </c>
      <c r="AE48" s="165">
        <f t="shared" si="34"/>
        <v>915.330374753358</v>
      </c>
      <c r="AF48" s="165">
        <f t="shared" si="34"/>
        <v>1037.020509557716</v>
      </c>
      <c r="AG48" s="165">
        <f t="shared" si="34"/>
        <v>1025.9915683638042</v>
      </c>
      <c r="AH48" s="165">
        <f t="shared" si="34"/>
        <v>1030.4741396386594</v>
      </c>
      <c r="AI48" s="165">
        <f t="shared" si="34"/>
        <v>968.87364832455842</v>
      </c>
      <c r="AJ48" s="165">
        <f t="shared" si="34"/>
        <v>1017.6002380208403</v>
      </c>
      <c r="AK48" s="165">
        <f t="shared" ref="AK48:AL48" si="35">SUMIF(AK49:AK54,"&lt;1E+307")</f>
        <v>1008.5502745821461</v>
      </c>
      <c r="AL48" s="165">
        <f t="shared" si="35"/>
        <v>968.73909583923012</v>
      </c>
    </row>
    <row r="49" spans="2:38" s="150" customFormat="1" ht="18.75" customHeight="1">
      <c r="B49" s="19" t="s">
        <v>129</v>
      </c>
      <c r="C49" s="159" t="s">
        <v>182</v>
      </c>
      <c r="D49" s="168">
        <v>440.80804605244549</v>
      </c>
      <c r="E49" s="168">
        <v>449.676002070945</v>
      </c>
      <c r="F49" s="168">
        <v>460.29049707204632</v>
      </c>
      <c r="G49" s="168">
        <v>413.58912186766366</v>
      </c>
      <c r="H49" s="168">
        <v>432.53139534762556</v>
      </c>
      <c r="I49" s="168">
        <v>430.80623068407363</v>
      </c>
      <c r="J49" s="168">
        <v>452.52633807592679</v>
      </c>
      <c r="K49" s="168">
        <v>449.4647294752225</v>
      </c>
      <c r="L49" s="168">
        <v>398.70434082928472</v>
      </c>
      <c r="M49" s="168">
        <v>438.10821114666686</v>
      </c>
      <c r="N49" s="168">
        <v>436.13083094298435</v>
      </c>
      <c r="O49" s="168">
        <v>410.81407725503368</v>
      </c>
      <c r="P49" s="168">
        <v>388.71893339651325</v>
      </c>
      <c r="Q49" s="168">
        <v>463.40163621203584</v>
      </c>
      <c r="R49" s="168">
        <v>423.42752624000815</v>
      </c>
      <c r="S49" s="168">
        <v>430.23629488540968</v>
      </c>
      <c r="T49" s="168">
        <v>436.30476763135027</v>
      </c>
      <c r="U49" s="168">
        <v>395.08214936784015</v>
      </c>
      <c r="V49" s="168">
        <v>435.94314963871028</v>
      </c>
      <c r="W49" s="168">
        <v>393.61746262660552</v>
      </c>
      <c r="X49" s="168">
        <v>381.15828414756334</v>
      </c>
      <c r="Y49" s="168">
        <v>354.71017582080162</v>
      </c>
      <c r="Z49" s="168">
        <v>365.37736628018996</v>
      </c>
      <c r="AA49" s="168">
        <v>357.42843155873112</v>
      </c>
      <c r="AB49" s="168">
        <v>396.6378850671818</v>
      </c>
      <c r="AC49" s="168">
        <v>371.51616821953593</v>
      </c>
      <c r="AD49" s="168">
        <v>361.61618319436815</v>
      </c>
      <c r="AE49" s="168">
        <v>318.46809391512016</v>
      </c>
      <c r="AF49" s="168">
        <v>397.78269358118365</v>
      </c>
      <c r="AG49" s="168">
        <v>384.58541705629341</v>
      </c>
      <c r="AH49" s="168">
        <v>378.507284708903</v>
      </c>
      <c r="AI49" s="168">
        <v>346.44492987357773</v>
      </c>
      <c r="AJ49" s="168">
        <v>386.78635749216426</v>
      </c>
      <c r="AK49" s="168">
        <v>414.46518219408011</v>
      </c>
      <c r="AL49" s="168">
        <v>381.67457576470008</v>
      </c>
    </row>
    <row r="50" spans="2:38" s="150" customFormat="1" ht="18.75" customHeight="1">
      <c r="B50" s="90" t="s">
        <v>130</v>
      </c>
      <c r="C50" s="160" t="s">
        <v>183</v>
      </c>
      <c r="D50" s="167">
        <v>135.81992274208778</v>
      </c>
      <c r="E50" s="167">
        <v>135.79190022762032</v>
      </c>
      <c r="F50" s="167">
        <v>135.80963717426062</v>
      </c>
      <c r="G50" s="167">
        <v>135.87628034717764</v>
      </c>
      <c r="H50" s="167">
        <v>135.92787747740172</v>
      </c>
      <c r="I50" s="167">
        <v>136.07632119145023</v>
      </c>
      <c r="J50" s="167">
        <v>136.26937597551117</v>
      </c>
      <c r="K50" s="167">
        <v>136.52651077059176</v>
      </c>
      <c r="L50" s="167">
        <v>136.82087861634861</v>
      </c>
      <c r="M50" s="167">
        <v>137.18176723816691</v>
      </c>
      <c r="N50" s="167">
        <v>137.48572561165406</v>
      </c>
      <c r="O50" s="167">
        <v>150.17511155858043</v>
      </c>
      <c r="P50" s="167">
        <v>163.21621659942116</v>
      </c>
      <c r="Q50" s="167">
        <v>176.53852336749364</v>
      </c>
      <c r="R50" s="167">
        <v>190.19223487172769</v>
      </c>
      <c r="S50" s="167">
        <v>204.18072245591515</v>
      </c>
      <c r="T50" s="167">
        <v>206.33810237786625</v>
      </c>
      <c r="U50" s="167">
        <v>208.9839201976518</v>
      </c>
      <c r="V50" s="167">
        <v>211.96429544313597</v>
      </c>
      <c r="W50" s="167">
        <v>215.35419084021098</v>
      </c>
      <c r="X50" s="167">
        <v>219.09340798381277</v>
      </c>
      <c r="Y50" s="167">
        <v>236.77391718876186</v>
      </c>
      <c r="Z50" s="167">
        <v>255.40070125690306</v>
      </c>
      <c r="AA50" s="167">
        <v>274.72266570675504</v>
      </c>
      <c r="AB50" s="167">
        <v>294.89076811931358</v>
      </c>
      <c r="AC50" s="167">
        <v>315.60861388369096</v>
      </c>
      <c r="AD50" s="167">
        <v>321.0074279052937</v>
      </c>
      <c r="AE50" s="167">
        <v>326.99030037320108</v>
      </c>
      <c r="AF50" s="167">
        <v>333.47136449628903</v>
      </c>
      <c r="AG50" s="167">
        <v>340.49119363591888</v>
      </c>
      <c r="AH50" s="167">
        <v>348.14270578378944</v>
      </c>
      <c r="AI50" s="167">
        <v>339.13138477523654</v>
      </c>
      <c r="AJ50" s="167">
        <v>331.01746051450499</v>
      </c>
      <c r="AK50" s="167">
        <v>323.64305455424017</v>
      </c>
      <c r="AL50" s="167">
        <v>312.72539765300002</v>
      </c>
    </row>
    <row r="51" spans="2:38" s="150" customFormat="1" ht="18.75" customHeight="1">
      <c r="B51" s="19" t="s">
        <v>133</v>
      </c>
      <c r="C51" s="159" t="s">
        <v>184</v>
      </c>
      <c r="D51" s="168">
        <v>115.02665090202943</v>
      </c>
      <c r="E51" s="168">
        <v>116.82728094380445</v>
      </c>
      <c r="F51" s="168">
        <v>116.27711324458413</v>
      </c>
      <c r="G51" s="168">
        <v>107.0584383648918</v>
      </c>
      <c r="H51" s="168">
        <v>111.10630073791587</v>
      </c>
      <c r="I51" s="168">
        <v>111.517032147546</v>
      </c>
      <c r="J51" s="168">
        <v>113.5674998064506</v>
      </c>
      <c r="K51" s="168">
        <v>113.09917534802207</v>
      </c>
      <c r="L51" s="168">
        <v>101.96567497407258</v>
      </c>
      <c r="M51" s="168">
        <v>109.3033215035818</v>
      </c>
      <c r="N51" s="168">
        <v>108.94935727521519</v>
      </c>
      <c r="O51" s="168">
        <v>100.78616653794788</v>
      </c>
      <c r="P51" s="168">
        <v>96.11439501243855</v>
      </c>
      <c r="Q51" s="168">
        <v>104.21382476079808</v>
      </c>
      <c r="R51" s="168">
        <v>95.573603566884486</v>
      </c>
      <c r="S51" s="168">
        <v>94.475459134555294</v>
      </c>
      <c r="T51" s="168">
        <v>95.471522298138225</v>
      </c>
      <c r="U51" s="168">
        <v>86.01214036696858</v>
      </c>
      <c r="V51" s="168">
        <v>93.124832363519943</v>
      </c>
      <c r="W51" s="168">
        <v>93.794745696196628</v>
      </c>
      <c r="X51" s="168">
        <v>88.679848633869952</v>
      </c>
      <c r="Y51" s="168">
        <v>89.357853526283634</v>
      </c>
      <c r="Z51" s="168">
        <v>90.62212746505476</v>
      </c>
      <c r="AA51" s="168">
        <v>89.303540018843307</v>
      </c>
      <c r="AB51" s="168">
        <v>90.152527034392449</v>
      </c>
      <c r="AC51" s="168">
        <v>87.011517591881088</v>
      </c>
      <c r="AD51" s="168">
        <v>87.748199433928235</v>
      </c>
      <c r="AE51" s="168">
        <v>77.616155150884779</v>
      </c>
      <c r="AF51" s="168">
        <v>88.122872113271185</v>
      </c>
      <c r="AG51" s="168">
        <v>85.130320200008555</v>
      </c>
      <c r="AH51" s="168">
        <v>84.511935137667976</v>
      </c>
      <c r="AI51" s="168">
        <v>80.064801264662378</v>
      </c>
      <c r="AJ51" s="168">
        <v>82.428193572859797</v>
      </c>
      <c r="AK51" s="168">
        <v>74.660296645087499</v>
      </c>
      <c r="AL51" s="168">
        <v>76.54248058358003</v>
      </c>
    </row>
    <row r="52" spans="2:38" s="150" customFormat="1" ht="18.75" customHeight="1">
      <c r="B52" s="90" t="s">
        <v>134</v>
      </c>
      <c r="C52" s="160" t="s">
        <v>185</v>
      </c>
      <c r="D52" s="167">
        <v>26.288302857148768</v>
      </c>
      <c r="E52" s="167">
        <v>31.73277328571691</v>
      </c>
      <c r="F52" s="167">
        <v>32.190095142859931</v>
      </c>
      <c r="G52" s="167">
        <v>20.174673357141437</v>
      </c>
      <c r="H52" s="167">
        <v>24.233519357145688</v>
      </c>
      <c r="I52" s="167">
        <v>29.061217428579468</v>
      </c>
      <c r="J52" s="167">
        <v>33.541947214281919</v>
      </c>
      <c r="K52" s="167">
        <v>32.466603714288048</v>
      </c>
      <c r="L52" s="167">
        <v>15.381622142855145</v>
      </c>
      <c r="M52" s="167">
        <v>30.732553500002123</v>
      </c>
      <c r="N52" s="167">
        <v>27.474041571433901</v>
      </c>
      <c r="O52" s="167">
        <v>19.932270285714445</v>
      </c>
      <c r="P52" s="167">
        <v>16.772576857140393</v>
      </c>
      <c r="Q52" s="167">
        <v>35.578782642852346</v>
      </c>
      <c r="R52" s="167">
        <v>24.85603842857488</v>
      </c>
      <c r="S52" s="167">
        <v>27.600011214291456</v>
      </c>
      <c r="T52" s="167">
        <v>32.603264372318662</v>
      </c>
      <c r="U52" s="167">
        <v>20.695015308843129</v>
      </c>
      <c r="V52" s="167">
        <v>29.981213848391768</v>
      </c>
      <c r="W52" s="167">
        <v>32.420919019241666</v>
      </c>
      <c r="X52" s="167">
        <v>28.977058374595639</v>
      </c>
      <c r="Y52" s="167">
        <v>29.010174721941823</v>
      </c>
      <c r="Z52" s="167">
        <v>29.790138462080396</v>
      </c>
      <c r="AA52" s="167">
        <v>30.087740958976347</v>
      </c>
      <c r="AB52" s="167">
        <v>32.844378567816712</v>
      </c>
      <c r="AC52" s="167">
        <v>26.857050890008118</v>
      </c>
      <c r="AD52" s="167">
        <v>31.886480674403561</v>
      </c>
      <c r="AE52" s="167">
        <v>20.384265560439768</v>
      </c>
      <c r="AF52" s="167">
        <v>37.424695084568576</v>
      </c>
      <c r="AG52" s="167">
        <v>34.152865927443436</v>
      </c>
      <c r="AH52" s="167">
        <v>35.465600114232721</v>
      </c>
      <c r="AI52" s="167">
        <v>26.90342385040605</v>
      </c>
      <c r="AJ52" s="167">
        <v>37.685107138731354</v>
      </c>
      <c r="AK52" s="167">
        <v>22.720543772842237</v>
      </c>
      <c r="AL52" s="167">
        <v>25.15996060869999</v>
      </c>
    </row>
    <row r="53" spans="2:38" s="150" customFormat="1" ht="18.75" customHeight="1">
      <c r="B53" s="19" t="s">
        <v>135</v>
      </c>
      <c r="C53" s="159" t="s">
        <v>186</v>
      </c>
      <c r="D53" s="168">
        <v>91.277997539542028</v>
      </c>
      <c r="E53" s="168">
        <v>92.946723464813616</v>
      </c>
      <c r="F53" s="168">
        <v>92.785821102467182</v>
      </c>
      <c r="G53" s="168">
        <v>89.855421411166432</v>
      </c>
      <c r="H53" s="168">
        <v>90.648868697882421</v>
      </c>
      <c r="I53" s="168">
        <v>90.776968587382669</v>
      </c>
      <c r="J53" s="168">
        <v>92.04458348895497</v>
      </c>
      <c r="K53" s="168">
        <v>91.766735444539322</v>
      </c>
      <c r="L53" s="168">
        <v>81.519344566551581</v>
      </c>
      <c r="M53" s="168">
        <v>90.331920761690895</v>
      </c>
      <c r="N53" s="168">
        <v>90.254300154628453</v>
      </c>
      <c r="O53" s="168">
        <v>228.83140534002882</v>
      </c>
      <c r="P53" s="168">
        <v>230.74132162272346</v>
      </c>
      <c r="Q53" s="168">
        <v>238.38614594103461</v>
      </c>
      <c r="R53" s="168">
        <v>236.51444366333402</v>
      </c>
      <c r="S53" s="168">
        <v>238.80375407713305</v>
      </c>
      <c r="T53" s="168">
        <v>186.25336204940461</v>
      </c>
      <c r="U53" s="168">
        <v>183.09341258390756</v>
      </c>
      <c r="V53" s="168">
        <v>188.37970051921593</v>
      </c>
      <c r="W53" s="168">
        <v>190.15408931332419</v>
      </c>
      <c r="X53" s="168">
        <v>190.81837629164187</v>
      </c>
      <c r="Y53" s="168">
        <v>194.02449748517589</v>
      </c>
      <c r="Z53" s="168">
        <v>195.61697435036928</v>
      </c>
      <c r="AA53" s="168">
        <v>197.93544000026142</v>
      </c>
      <c r="AB53" s="168">
        <v>201.09347350159729</v>
      </c>
      <c r="AC53" s="168">
        <v>201.36378399499068</v>
      </c>
      <c r="AD53" s="168">
        <v>174.73586279415565</v>
      </c>
      <c r="AE53" s="168">
        <v>171.87155975371229</v>
      </c>
      <c r="AF53" s="168">
        <v>180.21888428240345</v>
      </c>
      <c r="AG53" s="168">
        <v>181.63177154413984</v>
      </c>
      <c r="AH53" s="168">
        <v>183.84661389406614</v>
      </c>
      <c r="AI53" s="168">
        <v>176.32910856067565</v>
      </c>
      <c r="AJ53" s="168">
        <v>179.68311930257997</v>
      </c>
      <c r="AK53" s="168">
        <v>173.06119741589609</v>
      </c>
      <c r="AL53" s="168">
        <v>172.63668122925003</v>
      </c>
    </row>
    <row r="54" spans="2:38" s="150" customFormat="1" ht="18.75" customHeight="1">
      <c r="B54" s="90" t="s">
        <v>131</v>
      </c>
      <c r="C54" s="160" t="s">
        <v>187</v>
      </c>
      <c r="D54" s="167">
        <v>0</v>
      </c>
      <c r="E54" s="167">
        <v>0</v>
      </c>
      <c r="F54" s="167">
        <v>0</v>
      </c>
      <c r="G54" s="167">
        <v>0</v>
      </c>
      <c r="H54" s="167">
        <v>0</v>
      </c>
      <c r="I54" s="167">
        <v>0</v>
      </c>
      <c r="J54" s="167">
        <v>0</v>
      </c>
      <c r="K54" s="167">
        <v>0</v>
      </c>
      <c r="L54" s="167">
        <v>0</v>
      </c>
      <c r="M54" s="167">
        <v>0</v>
      </c>
      <c r="N54" s="167">
        <v>0</v>
      </c>
      <c r="O54" s="167">
        <v>0</v>
      </c>
      <c r="P54" s="167">
        <v>0</v>
      </c>
      <c r="Q54" s="167">
        <v>0</v>
      </c>
      <c r="R54" s="167">
        <v>0</v>
      </c>
      <c r="S54" s="167">
        <v>0</v>
      </c>
      <c r="T54" s="167">
        <v>0</v>
      </c>
      <c r="U54" s="167">
        <v>0</v>
      </c>
      <c r="V54" s="167">
        <v>0</v>
      </c>
      <c r="W54" s="167">
        <v>0</v>
      </c>
      <c r="X54" s="167">
        <v>0</v>
      </c>
      <c r="Y54" s="167">
        <v>0</v>
      </c>
      <c r="Z54" s="167">
        <v>0</v>
      </c>
      <c r="AA54" s="167">
        <v>0</v>
      </c>
      <c r="AB54" s="167">
        <v>0</v>
      </c>
      <c r="AC54" s="167">
        <v>0</v>
      </c>
      <c r="AD54" s="167">
        <v>0</v>
      </c>
      <c r="AE54" s="167">
        <v>0</v>
      </c>
      <c r="AF54" s="167">
        <v>0</v>
      </c>
      <c r="AG54" s="167">
        <v>0</v>
      </c>
      <c r="AH54" s="167">
        <v>0</v>
      </c>
      <c r="AI54" s="167">
        <v>0</v>
      </c>
      <c r="AJ54" s="167">
        <v>0</v>
      </c>
      <c r="AK54" s="167">
        <v>0</v>
      </c>
      <c r="AL54" s="167">
        <v>0</v>
      </c>
    </row>
    <row r="55" spans="2:38" ht="19.5" customHeight="1">
      <c r="B55" s="7"/>
      <c r="C55" s="16"/>
    </row>
  </sheetData>
  <pageMargins left="0.70866141732283472" right="0.70866141732283472" top="0.78740157480314965" bottom="0.78740157480314965" header="1.1811023622047245" footer="1.1811023622047245"/>
  <pageSetup paperSize="9" scale="19" orientation="portrait" r:id="rId1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6C31-9D08-4B6F-8BEF-6D6E73030395}">
  <sheetPr>
    <pageSetUpPr fitToPage="1"/>
  </sheetPr>
  <dimension ref="B1:AL55"/>
  <sheetViews>
    <sheetView showGridLines="0" zoomScale="70" zoomScaleNormal="70" zoomScalePageLayoutView="150" workbookViewId="0">
      <pane xSplit="3" ySplit="8" topLeftCell="D9" activePane="bottomRight" state="frozen"/>
      <selection activeCell="C17" sqref="C17:C19"/>
      <selection pane="topRight" activeCell="C17" sqref="C17:C19"/>
      <selection pane="bottomLeft" activeCell="C17" sqref="C17:C19"/>
      <selection pane="bottomRight" activeCell="B3" sqref="B3"/>
    </sheetView>
  </sheetViews>
  <sheetFormatPr baseColWidth="10" defaultColWidth="11.42578125" defaultRowHeight="15" outlineLevelCol="1"/>
  <cols>
    <col min="1" max="1" width="5.42578125" style="150" customWidth="1"/>
    <col min="2" max="2" width="62.7109375" style="150" customWidth="1"/>
    <col min="3" max="3" width="25.7109375" style="162" hidden="1" customWidth="1"/>
    <col min="4" max="4" width="10.85546875" style="150" customWidth="1"/>
    <col min="5" max="8" width="10.85546875" style="150" hidden="1" customWidth="1" outlineLevel="1"/>
    <col min="9" max="9" width="10.85546875" style="150" customWidth="1" collapsed="1"/>
    <col min="10" max="13" width="10.85546875" style="150" hidden="1" customWidth="1" outlineLevel="1"/>
    <col min="14" max="14" width="10.85546875" style="150" customWidth="1" collapsed="1"/>
    <col min="15" max="18" width="10.85546875" style="150" hidden="1" customWidth="1" outlineLevel="1"/>
    <col min="19" max="19" width="10.85546875" style="150" customWidth="1" collapsed="1"/>
    <col min="20" max="23" width="10.85546875" style="150" hidden="1" customWidth="1" outlineLevel="1"/>
    <col min="24" max="24" width="10.85546875" style="150" customWidth="1" collapsed="1"/>
    <col min="25" max="28" width="10.85546875" style="150" customWidth="1" outlineLevel="1"/>
    <col min="29" max="29" width="10.85546875" style="150" customWidth="1"/>
    <col min="30" max="33" width="10.85546875" style="150" customWidth="1" outlineLevel="1"/>
    <col min="34" max="38" width="10.85546875" style="150" customWidth="1"/>
    <col min="39" max="16384" width="11.42578125" style="150"/>
  </cols>
  <sheetData>
    <row r="1" spans="2:38"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</row>
    <row r="2" spans="2:38" ht="14.25" customHeight="1">
      <c r="B2" s="1"/>
      <c r="C2" s="86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</row>
    <row r="3" spans="2:38" ht="22.5" customHeight="1">
      <c r="B3" s="3" t="s">
        <v>132</v>
      </c>
      <c r="C3" s="12" t="s">
        <v>42</v>
      </c>
      <c r="D3" s="24"/>
      <c r="E3" s="2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2:38">
      <c r="B4" s="151" t="s">
        <v>79</v>
      </c>
      <c r="C4" s="158"/>
      <c r="D4" s="155">
        <v>32874</v>
      </c>
      <c r="E4" s="155">
        <v>33239</v>
      </c>
      <c r="F4" s="155">
        <v>33604</v>
      </c>
      <c r="G4" s="155">
        <v>33970</v>
      </c>
      <c r="H4" s="155">
        <v>34335</v>
      </c>
      <c r="I4" s="155">
        <v>34700</v>
      </c>
      <c r="J4" s="155">
        <v>35065</v>
      </c>
      <c r="K4" s="155">
        <v>35431</v>
      </c>
      <c r="L4" s="155">
        <v>35796</v>
      </c>
      <c r="M4" s="155">
        <v>36161</v>
      </c>
      <c r="N4" s="155">
        <v>36526</v>
      </c>
      <c r="O4" s="155">
        <v>36892</v>
      </c>
      <c r="P4" s="155">
        <v>37257</v>
      </c>
      <c r="Q4" s="155">
        <v>37622</v>
      </c>
      <c r="R4" s="155">
        <v>37987</v>
      </c>
      <c r="S4" s="155">
        <v>38353</v>
      </c>
      <c r="T4" s="155">
        <v>38718</v>
      </c>
      <c r="U4" s="155">
        <v>39083</v>
      </c>
      <c r="V4" s="155">
        <v>39448</v>
      </c>
      <c r="W4" s="155">
        <v>39814</v>
      </c>
      <c r="X4" s="155">
        <v>40179</v>
      </c>
      <c r="Y4" s="155">
        <v>40544</v>
      </c>
      <c r="Z4" s="155">
        <v>40909</v>
      </c>
      <c r="AA4" s="155">
        <v>41275</v>
      </c>
      <c r="AB4" s="155">
        <v>41640</v>
      </c>
      <c r="AC4" s="155">
        <v>42005</v>
      </c>
      <c r="AD4" s="155">
        <v>42370</v>
      </c>
      <c r="AE4" s="155">
        <v>42736</v>
      </c>
      <c r="AF4" s="155">
        <v>43101</v>
      </c>
      <c r="AG4" s="155">
        <v>43466</v>
      </c>
      <c r="AH4" s="155">
        <v>43831</v>
      </c>
      <c r="AI4" s="155">
        <v>44197</v>
      </c>
      <c r="AJ4" s="155">
        <v>44562</v>
      </c>
      <c r="AK4" s="155">
        <v>44927</v>
      </c>
      <c r="AL4" s="155">
        <v>45292</v>
      </c>
    </row>
    <row r="5" spans="2:38" s="10" customFormat="1" ht="18.75" customHeight="1">
      <c r="B5" s="152" t="s">
        <v>21</v>
      </c>
      <c r="C5" s="163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</row>
    <row r="6" spans="2:38" s="10" customFormat="1" ht="18.75" customHeight="1">
      <c r="B6" s="25" t="s">
        <v>22</v>
      </c>
      <c r="C6" s="22" t="s">
        <v>3</v>
      </c>
      <c r="D6" s="165">
        <f t="shared" ref="D6:AJ6" si="0">SUM(D9,D14,D21,D26,D32,D42)</f>
        <v>12324.187150071186</v>
      </c>
      <c r="E6" s="165">
        <f t="shared" si="0"/>
        <v>11889.807399721816</v>
      </c>
      <c r="F6" s="165">
        <f t="shared" si="0"/>
        <v>12381.705968974831</v>
      </c>
      <c r="G6" s="165">
        <f t="shared" si="0"/>
        <v>15008.467174433375</v>
      </c>
      <c r="H6" s="165">
        <f t="shared" si="0"/>
        <v>15448.881976926128</v>
      </c>
      <c r="I6" s="165">
        <f t="shared" si="0"/>
        <v>16021.530534878271</v>
      </c>
      <c r="J6" s="165">
        <f t="shared" si="0"/>
        <v>15209.659113885164</v>
      </c>
      <c r="K6" s="165">
        <f t="shared" si="0"/>
        <v>15425.115490028131</v>
      </c>
      <c r="L6" s="165">
        <f t="shared" si="0"/>
        <v>15910.402656444341</v>
      </c>
      <c r="M6" s="165">
        <f t="shared" si="0"/>
        <v>14201.029908007986</v>
      </c>
      <c r="N6" s="165">
        <f t="shared" si="0"/>
        <v>12735.566410138445</v>
      </c>
      <c r="O6" s="165">
        <f t="shared" si="0"/>
        <v>13410.707810112539</v>
      </c>
      <c r="P6" s="165">
        <f t="shared" si="0"/>
        <v>13439.278033148192</v>
      </c>
      <c r="Q6" s="165">
        <f t="shared" si="0"/>
        <v>12966.512596513325</v>
      </c>
      <c r="R6" s="165">
        <f t="shared" si="0"/>
        <v>13385.904344446997</v>
      </c>
      <c r="S6" s="165">
        <f t="shared" si="0"/>
        <v>13578.135107476022</v>
      </c>
      <c r="T6" s="165">
        <f t="shared" si="0"/>
        <v>13491.98352212672</v>
      </c>
      <c r="U6" s="165">
        <f t="shared" si="0"/>
        <v>13595.717030170084</v>
      </c>
      <c r="V6" s="165">
        <f t="shared" si="0"/>
        <v>13585.505150486066</v>
      </c>
      <c r="W6" s="165">
        <f t="shared" si="0"/>
        <v>13989.067543853145</v>
      </c>
      <c r="X6" s="165">
        <f t="shared" si="0"/>
        <v>13648.11033137545</v>
      </c>
      <c r="Y6" s="165">
        <f t="shared" si="0"/>
        <v>13861.46563882814</v>
      </c>
      <c r="Z6" s="165">
        <f t="shared" si="0"/>
        <v>14072.574965326778</v>
      </c>
      <c r="AA6" s="165">
        <f t="shared" si="0"/>
        <v>14096.688440390568</v>
      </c>
      <c r="AB6" s="165">
        <f t="shared" si="0"/>
        <v>14098.940068817321</v>
      </c>
      <c r="AC6" s="165">
        <f t="shared" si="0"/>
        <v>14533.435350847612</v>
      </c>
      <c r="AD6" s="165">
        <f t="shared" si="0"/>
        <v>14635.256259564572</v>
      </c>
      <c r="AE6" s="165">
        <f t="shared" si="0"/>
        <v>14638.859825270103</v>
      </c>
      <c r="AF6" s="165">
        <f t="shared" si="0"/>
        <v>13765.037154173222</v>
      </c>
      <c r="AG6" s="165">
        <f t="shared" si="0"/>
        <v>13022.523256383691</v>
      </c>
      <c r="AH6" s="165">
        <f t="shared" si="0"/>
        <v>11509.57385953984</v>
      </c>
      <c r="AI6" s="165">
        <f t="shared" si="0"/>
        <v>10857.636401161088</v>
      </c>
      <c r="AJ6" s="165">
        <f t="shared" si="0"/>
        <v>9892.3152499109801</v>
      </c>
      <c r="AK6" s="165">
        <f t="shared" ref="AK6:AL6" si="1">SUM(AK9,AK14,AK21,AK26,AK32,AK42)</f>
        <v>9394.9341529444519</v>
      </c>
      <c r="AL6" s="165">
        <f t="shared" si="1"/>
        <v>8999.9999275663849</v>
      </c>
    </row>
    <row r="7" spans="2:38" s="10" customFormat="1" ht="18.75" customHeight="1">
      <c r="B7" s="23" t="s">
        <v>23</v>
      </c>
      <c r="C7" s="163" t="s">
        <v>3</v>
      </c>
      <c r="D7" s="166">
        <f t="shared" ref="D7:AJ7" si="2">SUM(D9,D14,D21,D26,D32,D42,D48)</f>
        <v>12324.187150071186</v>
      </c>
      <c r="E7" s="166">
        <f t="shared" si="2"/>
        <v>11889.807399721816</v>
      </c>
      <c r="F7" s="166">
        <f t="shared" si="2"/>
        <v>12381.705968974831</v>
      </c>
      <c r="G7" s="166">
        <f t="shared" si="2"/>
        <v>15008.467174433375</v>
      </c>
      <c r="H7" s="166">
        <f t="shared" si="2"/>
        <v>15448.881976926128</v>
      </c>
      <c r="I7" s="166">
        <f t="shared" si="2"/>
        <v>16021.530534878271</v>
      </c>
      <c r="J7" s="166">
        <f t="shared" si="2"/>
        <v>15209.659113885164</v>
      </c>
      <c r="K7" s="166">
        <f t="shared" si="2"/>
        <v>15425.115490028131</v>
      </c>
      <c r="L7" s="166">
        <f t="shared" si="2"/>
        <v>15910.402656444341</v>
      </c>
      <c r="M7" s="166">
        <f t="shared" si="2"/>
        <v>14201.029908007986</v>
      </c>
      <c r="N7" s="166">
        <f t="shared" si="2"/>
        <v>12735.566410138445</v>
      </c>
      <c r="O7" s="166">
        <f t="shared" si="2"/>
        <v>13410.707810112539</v>
      </c>
      <c r="P7" s="166">
        <f t="shared" si="2"/>
        <v>13439.278033148192</v>
      </c>
      <c r="Q7" s="166">
        <f t="shared" si="2"/>
        <v>12966.512596513325</v>
      </c>
      <c r="R7" s="166">
        <f t="shared" si="2"/>
        <v>13385.904344446997</v>
      </c>
      <c r="S7" s="166">
        <f t="shared" si="2"/>
        <v>13578.135107476022</v>
      </c>
      <c r="T7" s="166">
        <f t="shared" si="2"/>
        <v>13491.98352212672</v>
      </c>
      <c r="U7" s="166">
        <f t="shared" si="2"/>
        <v>13595.717030170084</v>
      </c>
      <c r="V7" s="166">
        <f t="shared" si="2"/>
        <v>13585.505150486066</v>
      </c>
      <c r="W7" s="166">
        <f t="shared" si="2"/>
        <v>13989.067543853145</v>
      </c>
      <c r="X7" s="166">
        <f t="shared" si="2"/>
        <v>13648.11033137545</v>
      </c>
      <c r="Y7" s="166">
        <f t="shared" si="2"/>
        <v>13861.46563882814</v>
      </c>
      <c r="Z7" s="166">
        <f t="shared" si="2"/>
        <v>14072.574965326778</v>
      </c>
      <c r="AA7" s="166">
        <f t="shared" si="2"/>
        <v>14096.688440390568</v>
      </c>
      <c r="AB7" s="166">
        <f t="shared" si="2"/>
        <v>14098.940068817321</v>
      </c>
      <c r="AC7" s="166">
        <f t="shared" si="2"/>
        <v>14533.435350847612</v>
      </c>
      <c r="AD7" s="166">
        <f t="shared" si="2"/>
        <v>14635.256259564572</v>
      </c>
      <c r="AE7" s="166">
        <f t="shared" si="2"/>
        <v>14638.859825270103</v>
      </c>
      <c r="AF7" s="166">
        <f t="shared" si="2"/>
        <v>13765.037154173222</v>
      </c>
      <c r="AG7" s="166">
        <f t="shared" si="2"/>
        <v>13022.523256383691</v>
      </c>
      <c r="AH7" s="166">
        <f t="shared" si="2"/>
        <v>11509.57385953984</v>
      </c>
      <c r="AI7" s="166">
        <f t="shared" si="2"/>
        <v>10857.636401161088</v>
      </c>
      <c r="AJ7" s="166">
        <f t="shared" si="2"/>
        <v>9892.3152499109801</v>
      </c>
      <c r="AK7" s="166">
        <f t="shared" ref="AK7:AL7" si="3">SUM(AK9,AK14,AK21,AK26,AK32,AK42,AK48)</f>
        <v>9394.9341529444519</v>
      </c>
      <c r="AL7" s="166">
        <f t="shared" si="3"/>
        <v>8999.9999275663849</v>
      </c>
    </row>
    <row r="8" spans="2:38" ht="18.75" customHeight="1">
      <c r="B8" s="90"/>
      <c r="C8" s="160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</row>
    <row r="9" spans="2:38" s="10" customFormat="1" ht="18.75" customHeight="1">
      <c r="B9" s="152" t="s">
        <v>8</v>
      </c>
      <c r="C9" s="163" t="s">
        <v>3</v>
      </c>
      <c r="D9" s="166">
        <f t="shared" ref="D9:AJ9" si="4">SUMIF(D10:D12,"&lt;1E+307")</f>
        <v>0</v>
      </c>
      <c r="E9" s="166">
        <f t="shared" si="4"/>
        <v>0</v>
      </c>
      <c r="F9" s="166">
        <f t="shared" si="4"/>
        <v>0</v>
      </c>
      <c r="G9" s="166">
        <f t="shared" si="4"/>
        <v>0</v>
      </c>
      <c r="H9" s="166">
        <f t="shared" si="4"/>
        <v>0</v>
      </c>
      <c r="I9" s="166">
        <f t="shared" si="4"/>
        <v>0</v>
      </c>
      <c r="J9" s="166">
        <f t="shared" si="4"/>
        <v>0</v>
      </c>
      <c r="K9" s="166">
        <f t="shared" si="4"/>
        <v>0</v>
      </c>
      <c r="L9" s="166">
        <f t="shared" si="4"/>
        <v>0</v>
      </c>
      <c r="M9" s="166">
        <f t="shared" si="4"/>
        <v>0</v>
      </c>
      <c r="N9" s="166">
        <f t="shared" si="4"/>
        <v>0</v>
      </c>
      <c r="O9" s="166">
        <f t="shared" si="4"/>
        <v>0</v>
      </c>
      <c r="P9" s="166">
        <f t="shared" si="4"/>
        <v>0</v>
      </c>
      <c r="Q9" s="166">
        <f t="shared" si="4"/>
        <v>0</v>
      </c>
      <c r="R9" s="166">
        <f t="shared" si="4"/>
        <v>0</v>
      </c>
      <c r="S9" s="166">
        <f t="shared" si="4"/>
        <v>0</v>
      </c>
      <c r="T9" s="166">
        <f t="shared" si="4"/>
        <v>0</v>
      </c>
      <c r="U9" s="166">
        <f t="shared" si="4"/>
        <v>0</v>
      </c>
      <c r="V9" s="166">
        <f t="shared" si="4"/>
        <v>0</v>
      </c>
      <c r="W9" s="166">
        <f t="shared" si="4"/>
        <v>0</v>
      </c>
      <c r="X9" s="166">
        <f t="shared" si="4"/>
        <v>0</v>
      </c>
      <c r="Y9" s="166">
        <f t="shared" si="4"/>
        <v>0</v>
      </c>
      <c r="Z9" s="166">
        <f t="shared" si="4"/>
        <v>0</v>
      </c>
      <c r="AA9" s="166">
        <f t="shared" si="4"/>
        <v>0</v>
      </c>
      <c r="AB9" s="166">
        <f t="shared" si="4"/>
        <v>0</v>
      </c>
      <c r="AC9" s="166">
        <f t="shared" si="4"/>
        <v>0</v>
      </c>
      <c r="AD9" s="166">
        <f t="shared" si="4"/>
        <v>0</v>
      </c>
      <c r="AE9" s="166">
        <f t="shared" si="4"/>
        <v>0</v>
      </c>
      <c r="AF9" s="166">
        <f t="shared" si="4"/>
        <v>0</v>
      </c>
      <c r="AG9" s="166">
        <f t="shared" si="4"/>
        <v>0</v>
      </c>
      <c r="AH9" s="166">
        <f t="shared" si="4"/>
        <v>0</v>
      </c>
      <c r="AI9" s="166">
        <f t="shared" si="4"/>
        <v>0</v>
      </c>
      <c r="AJ9" s="166">
        <f t="shared" si="4"/>
        <v>0</v>
      </c>
      <c r="AK9" s="166">
        <f t="shared" ref="AK9:AL9" si="5">SUMIF(AK10:AK12,"&lt;1E+307")</f>
        <v>0</v>
      </c>
      <c r="AL9" s="166">
        <f t="shared" si="5"/>
        <v>0</v>
      </c>
    </row>
    <row r="10" spans="2:38" ht="18.75" customHeight="1">
      <c r="B10" s="90" t="s">
        <v>0</v>
      </c>
      <c r="C10" s="160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</row>
    <row r="11" spans="2:38" ht="18.75" customHeight="1">
      <c r="B11" s="19" t="s">
        <v>2</v>
      </c>
      <c r="C11" s="159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</row>
    <row r="12" spans="2:38" ht="18.75" customHeight="1">
      <c r="B12" s="90" t="s">
        <v>1</v>
      </c>
      <c r="C12" s="160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</row>
    <row r="13" spans="2:38" ht="18.75" customHeight="1">
      <c r="B13" s="19"/>
      <c r="C13" s="159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</row>
    <row r="14" spans="2:38" s="10" customFormat="1" ht="18.75" customHeight="1">
      <c r="B14" s="153" t="s">
        <v>9</v>
      </c>
      <c r="C14" s="22" t="s">
        <v>3</v>
      </c>
      <c r="D14" s="165">
        <f t="shared" ref="D14:AJ14" si="6">SUMIF(D15:D19,"&lt;1E+307")</f>
        <v>12324.187150071186</v>
      </c>
      <c r="E14" s="165">
        <f t="shared" si="6"/>
        <v>11889.807399721816</v>
      </c>
      <c r="F14" s="165">
        <f t="shared" si="6"/>
        <v>12381.705968974831</v>
      </c>
      <c r="G14" s="165">
        <f t="shared" si="6"/>
        <v>15008.467174433375</v>
      </c>
      <c r="H14" s="165">
        <f t="shared" si="6"/>
        <v>15448.881976926128</v>
      </c>
      <c r="I14" s="165">
        <f t="shared" si="6"/>
        <v>16021.530534878271</v>
      </c>
      <c r="J14" s="165">
        <f t="shared" si="6"/>
        <v>15209.659113885164</v>
      </c>
      <c r="K14" s="165">
        <f t="shared" si="6"/>
        <v>15425.115490028131</v>
      </c>
      <c r="L14" s="165">
        <f t="shared" si="6"/>
        <v>15910.402656444341</v>
      </c>
      <c r="M14" s="165">
        <f t="shared" si="6"/>
        <v>14201.029908007986</v>
      </c>
      <c r="N14" s="165">
        <f t="shared" si="6"/>
        <v>12735.566410138445</v>
      </c>
      <c r="O14" s="165">
        <f t="shared" si="6"/>
        <v>13410.707810112539</v>
      </c>
      <c r="P14" s="165">
        <f t="shared" si="6"/>
        <v>13439.278033148192</v>
      </c>
      <c r="Q14" s="165">
        <f t="shared" si="6"/>
        <v>12966.512596513325</v>
      </c>
      <c r="R14" s="165">
        <f t="shared" si="6"/>
        <v>13385.904344446997</v>
      </c>
      <c r="S14" s="165">
        <f t="shared" si="6"/>
        <v>13578.135107476022</v>
      </c>
      <c r="T14" s="165">
        <f t="shared" si="6"/>
        <v>13491.98352212672</v>
      </c>
      <c r="U14" s="165">
        <f t="shared" si="6"/>
        <v>13595.717030170084</v>
      </c>
      <c r="V14" s="165">
        <f t="shared" si="6"/>
        <v>13585.505150486066</v>
      </c>
      <c r="W14" s="165">
        <f t="shared" si="6"/>
        <v>13989.067543853145</v>
      </c>
      <c r="X14" s="165">
        <f t="shared" si="6"/>
        <v>13648.11033137545</v>
      </c>
      <c r="Y14" s="165">
        <f t="shared" si="6"/>
        <v>13861.46563882814</v>
      </c>
      <c r="Z14" s="165">
        <f t="shared" si="6"/>
        <v>14072.574965326778</v>
      </c>
      <c r="AA14" s="165">
        <f t="shared" si="6"/>
        <v>14096.688440390568</v>
      </c>
      <c r="AB14" s="165">
        <f t="shared" si="6"/>
        <v>14098.940068817321</v>
      </c>
      <c r="AC14" s="165">
        <f t="shared" si="6"/>
        <v>14533.435350847612</v>
      </c>
      <c r="AD14" s="165">
        <f t="shared" si="6"/>
        <v>14635.256259564572</v>
      </c>
      <c r="AE14" s="165">
        <f t="shared" si="6"/>
        <v>14638.859825270103</v>
      </c>
      <c r="AF14" s="165">
        <f t="shared" si="6"/>
        <v>13765.037154173222</v>
      </c>
      <c r="AG14" s="165">
        <f t="shared" si="6"/>
        <v>13022.523256383691</v>
      </c>
      <c r="AH14" s="165">
        <f t="shared" si="6"/>
        <v>11509.57385953984</v>
      </c>
      <c r="AI14" s="165">
        <f t="shared" si="6"/>
        <v>10857.636401161088</v>
      </c>
      <c r="AJ14" s="165">
        <f t="shared" si="6"/>
        <v>9892.3152499109801</v>
      </c>
      <c r="AK14" s="165">
        <f t="shared" ref="AK14:AL14" si="7">SUMIF(AK15:AK19,"&lt;1E+307")</f>
        <v>9394.9341529444519</v>
      </c>
      <c r="AL14" s="165">
        <f t="shared" si="7"/>
        <v>8999.9999275663849</v>
      </c>
    </row>
    <row r="15" spans="2:38" ht="18.75" customHeight="1">
      <c r="B15" s="19" t="s">
        <v>24</v>
      </c>
      <c r="C15" s="159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</row>
    <row r="16" spans="2:38" ht="18.75" customHeight="1">
      <c r="B16" s="90" t="s">
        <v>11</v>
      </c>
      <c r="C16" s="160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</row>
    <row r="17" spans="2:38" ht="18.75" customHeight="1">
      <c r="B17" s="19" t="s">
        <v>12</v>
      </c>
      <c r="C17" s="159"/>
      <c r="D17" s="168">
        <v>4787.2147543920992</v>
      </c>
      <c r="E17" s="168">
        <v>4400.0174505063887</v>
      </c>
      <c r="F17" s="168">
        <v>4394.8278020470352</v>
      </c>
      <c r="G17" s="168">
        <v>4394.1082016959454</v>
      </c>
      <c r="H17" s="168">
        <v>4390.1970017874091</v>
      </c>
      <c r="I17" s="168">
        <v>4635.0000014738989</v>
      </c>
      <c r="J17" s="168">
        <v>3417.8700003362001</v>
      </c>
      <c r="K17" s="168">
        <v>3296.8050010126999</v>
      </c>
      <c r="L17" s="168">
        <v>3212.8700007555999</v>
      </c>
      <c r="M17" s="168">
        <v>3019.3750041982003</v>
      </c>
      <c r="N17" s="168">
        <v>1488.6100006593997</v>
      </c>
      <c r="O17" s="168">
        <v>1389.4099984708998</v>
      </c>
      <c r="P17" s="168">
        <v>1516.9750012798797</v>
      </c>
      <c r="Q17" s="168">
        <v>797.77500164492483</v>
      </c>
      <c r="R17" s="168">
        <v>774.27499762821003</v>
      </c>
      <c r="S17" s="168">
        <v>779.14000683334496</v>
      </c>
      <c r="T17" s="168">
        <v>519.27500149910998</v>
      </c>
      <c r="U17" s="168">
        <v>320.42000383450505</v>
      </c>
      <c r="V17" s="168">
        <v>549.13700486709001</v>
      </c>
      <c r="W17" s="168">
        <v>860.45137999999997</v>
      </c>
      <c r="X17" s="168">
        <v>265.86664999999999</v>
      </c>
      <c r="Y17" s="168">
        <v>147.33198999999999</v>
      </c>
      <c r="Z17" s="168">
        <v>150.00389999999999</v>
      </c>
      <c r="AA17" s="168">
        <v>150.01304499999998</v>
      </c>
      <c r="AB17" s="168">
        <v>47.9382077</v>
      </c>
      <c r="AC17" s="168">
        <v>59.394390389999998</v>
      </c>
      <c r="AD17" s="168">
        <v>62.758877749999996</v>
      </c>
      <c r="AE17" s="168">
        <v>65.948330059999989</v>
      </c>
      <c r="AF17" s="168">
        <v>53.397554559999996</v>
      </c>
      <c r="AG17" s="168">
        <v>48.045661679999995</v>
      </c>
      <c r="AH17" s="168">
        <v>44.713025379999998</v>
      </c>
      <c r="AI17" s="168">
        <v>35.74947856</v>
      </c>
      <c r="AJ17" s="168">
        <v>37.861903030000001</v>
      </c>
      <c r="AK17" s="168">
        <v>24.795068999999998</v>
      </c>
      <c r="AL17" s="168">
        <v>23.8248</v>
      </c>
    </row>
    <row r="18" spans="2:38" ht="18.75" customHeight="1">
      <c r="B18" s="90" t="s">
        <v>13</v>
      </c>
      <c r="C18" s="160"/>
      <c r="D18" s="167">
        <v>2782.4199999999996</v>
      </c>
      <c r="E18" s="167">
        <v>2408.2049999999999</v>
      </c>
      <c r="F18" s="167">
        <v>2177.1799999999998</v>
      </c>
      <c r="G18" s="167">
        <v>2031.2949999999998</v>
      </c>
      <c r="H18" s="167">
        <v>1724.4179999999999</v>
      </c>
      <c r="I18" s="167">
        <v>1812.5744999999997</v>
      </c>
      <c r="J18" s="167">
        <v>1740.0125</v>
      </c>
      <c r="K18" s="167">
        <v>1329.1469999999999</v>
      </c>
      <c r="L18" s="167">
        <v>1448.4972</v>
      </c>
      <c r="M18" s="167">
        <v>1116.2004999999999</v>
      </c>
      <c r="N18" s="167">
        <v>696.1724999999999</v>
      </c>
      <c r="O18" s="167">
        <v>819.69539999999995</v>
      </c>
      <c r="P18" s="167">
        <v>852.32600000000002</v>
      </c>
      <c r="Q18" s="167">
        <v>977.5773999999999</v>
      </c>
      <c r="R18" s="167">
        <v>1081.7473</v>
      </c>
      <c r="S18" s="167">
        <v>1069.06051</v>
      </c>
      <c r="T18" s="167">
        <v>822.33213499999999</v>
      </c>
      <c r="U18" s="167">
        <v>620.01889000000006</v>
      </c>
      <c r="V18" s="167">
        <v>466.10607999999996</v>
      </c>
      <c r="W18" s="167">
        <v>300.18969250000004</v>
      </c>
      <c r="X18" s="167">
        <v>256.51609499999995</v>
      </c>
      <c r="Y18" s="167">
        <v>159.53799999999998</v>
      </c>
      <c r="Z18" s="167">
        <v>134.41063750000001</v>
      </c>
      <c r="AA18" s="167">
        <v>146.81044499999999</v>
      </c>
      <c r="AB18" s="167">
        <v>136.21764250000001</v>
      </c>
      <c r="AC18" s="167">
        <v>134.34749749999997</v>
      </c>
      <c r="AD18" s="167">
        <v>159.12318999999999</v>
      </c>
      <c r="AE18" s="167">
        <v>198.82122249999998</v>
      </c>
      <c r="AF18" s="167">
        <v>219.49256259999999</v>
      </c>
      <c r="AG18" s="167">
        <v>142.54875000000001</v>
      </c>
      <c r="AH18" s="167">
        <v>129.62020999999999</v>
      </c>
      <c r="AI18" s="167">
        <v>119.22445999999999</v>
      </c>
      <c r="AJ18" s="167">
        <v>142.53188999999998</v>
      </c>
      <c r="AK18" s="167">
        <v>109.06994999999999</v>
      </c>
      <c r="AL18" s="167">
        <v>115.1905</v>
      </c>
    </row>
    <row r="19" spans="2:38" ht="18.75" customHeight="1">
      <c r="B19" s="19" t="s">
        <v>80</v>
      </c>
      <c r="C19" s="159"/>
      <c r="D19" s="168">
        <v>4754.5523956790867</v>
      </c>
      <c r="E19" s="168">
        <v>5081.5849492154284</v>
      </c>
      <c r="F19" s="168">
        <v>5809.6981669277948</v>
      </c>
      <c r="G19" s="168">
        <v>8583.063972737431</v>
      </c>
      <c r="H19" s="168">
        <v>9334.2669751387184</v>
      </c>
      <c r="I19" s="168">
        <v>9573.9560334043726</v>
      </c>
      <c r="J19" s="168">
        <v>10051.776613548964</v>
      </c>
      <c r="K19" s="168">
        <v>10799.163489015431</v>
      </c>
      <c r="L19" s="168">
        <v>11249.035455688741</v>
      </c>
      <c r="M19" s="168">
        <v>10065.454403809785</v>
      </c>
      <c r="N19" s="168">
        <v>10550.783909479045</v>
      </c>
      <c r="O19" s="168">
        <v>11201.602411641639</v>
      </c>
      <c r="P19" s="168">
        <v>11069.977031868313</v>
      </c>
      <c r="Q19" s="168">
        <v>11191.1601948684</v>
      </c>
      <c r="R19" s="168">
        <v>11529.882046818788</v>
      </c>
      <c r="S19" s="168">
        <v>11729.934590642677</v>
      </c>
      <c r="T19" s="168">
        <v>12150.376385627611</v>
      </c>
      <c r="U19" s="168">
        <v>12655.278136335579</v>
      </c>
      <c r="V19" s="168">
        <v>12570.262065618976</v>
      </c>
      <c r="W19" s="168">
        <v>12828.426471353145</v>
      </c>
      <c r="X19" s="168">
        <v>13125.727586375449</v>
      </c>
      <c r="Y19" s="168">
        <v>13554.595648828141</v>
      </c>
      <c r="Z19" s="168">
        <v>13788.160427826777</v>
      </c>
      <c r="AA19" s="168">
        <v>13799.864950390567</v>
      </c>
      <c r="AB19" s="168">
        <v>13914.78421861732</v>
      </c>
      <c r="AC19" s="168">
        <v>14339.693462957612</v>
      </c>
      <c r="AD19" s="168">
        <v>14413.374191814572</v>
      </c>
      <c r="AE19" s="168">
        <v>14374.090272710104</v>
      </c>
      <c r="AF19" s="168">
        <v>13492.147037013223</v>
      </c>
      <c r="AG19" s="168">
        <v>12831.928844703691</v>
      </c>
      <c r="AH19" s="168">
        <v>11335.24062415984</v>
      </c>
      <c r="AI19" s="168">
        <v>10702.662462601087</v>
      </c>
      <c r="AJ19" s="168">
        <v>9711.9214568809803</v>
      </c>
      <c r="AK19" s="168">
        <v>9261.0691339444511</v>
      </c>
      <c r="AL19" s="168">
        <v>8860.9846275663858</v>
      </c>
    </row>
    <row r="20" spans="2:38" ht="18.75" customHeight="1">
      <c r="B20" s="90"/>
      <c r="C20" s="160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</row>
    <row r="21" spans="2:38" s="10" customFormat="1" ht="18.75" customHeight="1">
      <c r="B21" s="152" t="s">
        <v>10</v>
      </c>
      <c r="C21" s="163" t="s">
        <v>3</v>
      </c>
      <c r="D21" s="166">
        <f>SUMIF(D22:D24,"&lt;1E+307")</f>
        <v>0</v>
      </c>
      <c r="E21" s="166">
        <f t="shared" ref="E21:AJ21" si="8">SUMIF(E22:E24,"&lt;1E+307")</f>
        <v>0</v>
      </c>
      <c r="F21" s="166">
        <f t="shared" si="8"/>
        <v>0</v>
      </c>
      <c r="G21" s="166">
        <f t="shared" si="8"/>
        <v>0</v>
      </c>
      <c r="H21" s="166">
        <f t="shared" si="8"/>
        <v>0</v>
      </c>
      <c r="I21" s="166">
        <f t="shared" si="8"/>
        <v>0</v>
      </c>
      <c r="J21" s="166">
        <f t="shared" si="8"/>
        <v>0</v>
      </c>
      <c r="K21" s="166">
        <f t="shared" si="8"/>
        <v>0</v>
      </c>
      <c r="L21" s="166">
        <f t="shared" si="8"/>
        <v>0</v>
      </c>
      <c r="M21" s="166">
        <f t="shared" si="8"/>
        <v>0</v>
      </c>
      <c r="N21" s="166">
        <f t="shared" si="8"/>
        <v>0</v>
      </c>
      <c r="O21" s="166">
        <f t="shared" si="8"/>
        <v>0</v>
      </c>
      <c r="P21" s="166">
        <f t="shared" si="8"/>
        <v>0</v>
      </c>
      <c r="Q21" s="166">
        <f t="shared" si="8"/>
        <v>0</v>
      </c>
      <c r="R21" s="166">
        <f t="shared" si="8"/>
        <v>0</v>
      </c>
      <c r="S21" s="166">
        <f t="shared" si="8"/>
        <v>0</v>
      </c>
      <c r="T21" s="166">
        <f t="shared" si="8"/>
        <v>0</v>
      </c>
      <c r="U21" s="166">
        <f t="shared" si="8"/>
        <v>0</v>
      </c>
      <c r="V21" s="166">
        <f t="shared" si="8"/>
        <v>0</v>
      </c>
      <c r="W21" s="166">
        <f t="shared" si="8"/>
        <v>0</v>
      </c>
      <c r="X21" s="166">
        <f t="shared" si="8"/>
        <v>0</v>
      </c>
      <c r="Y21" s="166">
        <f t="shared" si="8"/>
        <v>0</v>
      </c>
      <c r="Z21" s="166">
        <f t="shared" si="8"/>
        <v>0</v>
      </c>
      <c r="AA21" s="166">
        <f t="shared" si="8"/>
        <v>0</v>
      </c>
      <c r="AB21" s="166">
        <f t="shared" si="8"/>
        <v>0</v>
      </c>
      <c r="AC21" s="166">
        <f t="shared" si="8"/>
        <v>0</v>
      </c>
      <c r="AD21" s="166">
        <f t="shared" si="8"/>
        <v>0</v>
      </c>
      <c r="AE21" s="166">
        <f t="shared" si="8"/>
        <v>0</v>
      </c>
      <c r="AF21" s="166">
        <f t="shared" si="8"/>
        <v>0</v>
      </c>
      <c r="AG21" s="166">
        <f t="shared" si="8"/>
        <v>0</v>
      </c>
      <c r="AH21" s="166">
        <f t="shared" si="8"/>
        <v>0</v>
      </c>
      <c r="AI21" s="166">
        <f t="shared" si="8"/>
        <v>0</v>
      </c>
      <c r="AJ21" s="166">
        <f t="shared" si="8"/>
        <v>0</v>
      </c>
      <c r="AK21" s="166">
        <f t="shared" ref="AK21:AL21" si="9">SUMIF(AK22:AK24,"&lt;1E+307")</f>
        <v>0</v>
      </c>
      <c r="AL21" s="166">
        <f t="shared" si="9"/>
        <v>0</v>
      </c>
    </row>
    <row r="22" spans="2:38" ht="18.75" customHeight="1">
      <c r="B22" s="90" t="s">
        <v>72</v>
      </c>
      <c r="C22" s="160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</row>
    <row r="23" spans="2:38" ht="18.75" customHeight="1">
      <c r="B23" s="19" t="s">
        <v>17</v>
      </c>
      <c r="C23" s="159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</row>
    <row r="24" spans="2:38" ht="18.75" customHeight="1">
      <c r="B24" s="90" t="s">
        <v>73</v>
      </c>
      <c r="C24" s="160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</row>
    <row r="25" spans="2:38" ht="18.75" customHeight="1">
      <c r="B25" s="19"/>
      <c r="C25" s="159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</row>
    <row r="26" spans="2:38" s="10" customFormat="1" ht="18.75" customHeight="1">
      <c r="B26" s="153" t="s">
        <v>14</v>
      </c>
      <c r="C26" s="22" t="s">
        <v>3</v>
      </c>
      <c r="D26" s="165">
        <f>SUMIF(D27:D30,"&lt;1E+307")</f>
        <v>0</v>
      </c>
      <c r="E26" s="165">
        <f t="shared" ref="E26:AJ26" si="10">SUMIF(E27:E30,"&lt;1E+307")</f>
        <v>0</v>
      </c>
      <c r="F26" s="165">
        <f t="shared" si="10"/>
        <v>0</v>
      </c>
      <c r="G26" s="165">
        <f t="shared" si="10"/>
        <v>0</v>
      </c>
      <c r="H26" s="165">
        <f t="shared" si="10"/>
        <v>0</v>
      </c>
      <c r="I26" s="165">
        <f t="shared" si="10"/>
        <v>0</v>
      </c>
      <c r="J26" s="165">
        <f t="shared" si="10"/>
        <v>0</v>
      </c>
      <c r="K26" s="165">
        <f t="shared" si="10"/>
        <v>0</v>
      </c>
      <c r="L26" s="165">
        <f t="shared" si="10"/>
        <v>0</v>
      </c>
      <c r="M26" s="165">
        <f t="shared" si="10"/>
        <v>0</v>
      </c>
      <c r="N26" s="165">
        <f t="shared" si="10"/>
        <v>0</v>
      </c>
      <c r="O26" s="165">
        <f t="shared" si="10"/>
        <v>0</v>
      </c>
      <c r="P26" s="165">
        <f t="shared" si="10"/>
        <v>0</v>
      </c>
      <c r="Q26" s="165">
        <f t="shared" si="10"/>
        <v>0</v>
      </c>
      <c r="R26" s="165">
        <f t="shared" si="10"/>
        <v>0</v>
      </c>
      <c r="S26" s="165">
        <f t="shared" si="10"/>
        <v>0</v>
      </c>
      <c r="T26" s="165">
        <f t="shared" si="10"/>
        <v>0</v>
      </c>
      <c r="U26" s="165">
        <f t="shared" si="10"/>
        <v>0</v>
      </c>
      <c r="V26" s="165">
        <f t="shared" si="10"/>
        <v>0</v>
      </c>
      <c r="W26" s="165">
        <f t="shared" si="10"/>
        <v>0</v>
      </c>
      <c r="X26" s="165">
        <f t="shared" si="10"/>
        <v>0</v>
      </c>
      <c r="Y26" s="165">
        <f t="shared" si="10"/>
        <v>0</v>
      </c>
      <c r="Z26" s="165">
        <f t="shared" si="10"/>
        <v>0</v>
      </c>
      <c r="AA26" s="165">
        <f t="shared" si="10"/>
        <v>0</v>
      </c>
      <c r="AB26" s="165">
        <f t="shared" si="10"/>
        <v>0</v>
      </c>
      <c r="AC26" s="165">
        <f t="shared" si="10"/>
        <v>0</v>
      </c>
      <c r="AD26" s="165">
        <f t="shared" si="10"/>
        <v>0</v>
      </c>
      <c r="AE26" s="165">
        <f t="shared" si="10"/>
        <v>0</v>
      </c>
      <c r="AF26" s="165">
        <f t="shared" si="10"/>
        <v>0</v>
      </c>
      <c r="AG26" s="165">
        <f t="shared" si="10"/>
        <v>0</v>
      </c>
      <c r="AH26" s="165">
        <f t="shared" si="10"/>
        <v>0</v>
      </c>
      <c r="AI26" s="165">
        <f t="shared" si="10"/>
        <v>0</v>
      </c>
      <c r="AJ26" s="165">
        <f t="shared" si="10"/>
        <v>0</v>
      </c>
      <c r="AK26" s="165">
        <f t="shared" ref="AK26:AL26" si="11">SUMIF(AK27:AK30,"&lt;1E+307")</f>
        <v>0</v>
      </c>
      <c r="AL26" s="165">
        <f t="shared" si="11"/>
        <v>0</v>
      </c>
    </row>
    <row r="27" spans="2:38" ht="18.75" customHeight="1">
      <c r="B27" s="19" t="s">
        <v>4</v>
      </c>
      <c r="C27" s="159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</row>
    <row r="28" spans="2:38" ht="18.75" customHeight="1">
      <c r="B28" s="90" t="s">
        <v>5</v>
      </c>
      <c r="C28" s="160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</row>
    <row r="29" spans="2:38" ht="18.75" customHeight="1">
      <c r="B29" s="19" t="s">
        <v>6</v>
      </c>
      <c r="C29" s="159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</row>
    <row r="30" spans="2:38" ht="18.75" customHeight="1">
      <c r="B30" s="90" t="s">
        <v>7</v>
      </c>
      <c r="C30" s="160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</row>
    <row r="31" spans="2:38" ht="18.75" customHeight="1">
      <c r="B31" s="19"/>
      <c r="C31" s="159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</row>
    <row r="32" spans="2:38" s="10" customFormat="1" ht="18.75" customHeight="1">
      <c r="B32" s="153" t="s">
        <v>15</v>
      </c>
      <c r="C32" s="22" t="s">
        <v>3</v>
      </c>
      <c r="D32" s="165">
        <f>SUMIF(D33:D40,"&lt;1E+307")</f>
        <v>0</v>
      </c>
      <c r="E32" s="165">
        <f t="shared" ref="E32:AJ32" si="12">SUMIF(E33:E40,"&lt;1E+307")</f>
        <v>0</v>
      </c>
      <c r="F32" s="165">
        <f t="shared" si="12"/>
        <v>0</v>
      </c>
      <c r="G32" s="165">
        <f t="shared" si="12"/>
        <v>0</v>
      </c>
      <c r="H32" s="165">
        <f t="shared" si="12"/>
        <v>0</v>
      </c>
      <c r="I32" s="165">
        <f t="shared" si="12"/>
        <v>0</v>
      </c>
      <c r="J32" s="165">
        <f t="shared" si="12"/>
        <v>0</v>
      </c>
      <c r="K32" s="165">
        <f t="shared" si="12"/>
        <v>0</v>
      </c>
      <c r="L32" s="165">
        <f t="shared" si="12"/>
        <v>0</v>
      </c>
      <c r="M32" s="165">
        <f t="shared" si="12"/>
        <v>0</v>
      </c>
      <c r="N32" s="165">
        <f t="shared" si="12"/>
        <v>0</v>
      </c>
      <c r="O32" s="165">
        <f t="shared" si="12"/>
        <v>0</v>
      </c>
      <c r="P32" s="165">
        <f t="shared" si="12"/>
        <v>0</v>
      </c>
      <c r="Q32" s="165">
        <f t="shared" si="12"/>
        <v>0</v>
      </c>
      <c r="R32" s="165">
        <f t="shared" si="12"/>
        <v>0</v>
      </c>
      <c r="S32" s="165">
        <f t="shared" si="12"/>
        <v>0</v>
      </c>
      <c r="T32" s="165">
        <f t="shared" si="12"/>
        <v>0</v>
      </c>
      <c r="U32" s="165">
        <f t="shared" si="12"/>
        <v>0</v>
      </c>
      <c r="V32" s="165">
        <f t="shared" si="12"/>
        <v>0</v>
      </c>
      <c r="W32" s="165">
        <f t="shared" si="12"/>
        <v>0</v>
      </c>
      <c r="X32" s="165">
        <f t="shared" si="12"/>
        <v>0</v>
      </c>
      <c r="Y32" s="165">
        <f t="shared" si="12"/>
        <v>0</v>
      </c>
      <c r="Z32" s="165">
        <f t="shared" si="12"/>
        <v>0</v>
      </c>
      <c r="AA32" s="165">
        <f t="shared" si="12"/>
        <v>0</v>
      </c>
      <c r="AB32" s="165">
        <f t="shared" si="12"/>
        <v>0</v>
      </c>
      <c r="AC32" s="165">
        <f t="shared" si="12"/>
        <v>0</v>
      </c>
      <c r="AD32" s="165">
        <f t="shared" si="12"/>
        <v>0</v>
      </c>
      <c r="AE32" s="165">
        <f t="shared" si="12"/>
        <v>0</v>
      </c>
      <c r="AF32" s="165">
        <f t="shared" si="12"/>
        <v>0</v>
      </c>
      <c r="AG32" s="165">
        <f t="shared" si="12"/>
        <v>0</v>
      </c>
      <c r="AH32" s="165">
        <f t="shared" si="12"/>
        <v>0</v>
      </c>
      <c r="AI32" s="165">
        <f t="shared" si="12"/>
        <v>0</v>
      </c>
      <c r="AJ32" s="165">
        <f t="shared" si="12"/>
        <v>0</v>
      </c>
      <c r="AK32" s="165">
        <f t="shared" ref="AK32:AL32" si="13">SUMIF(AK33:AK40,"&lt;1E+307")</f>
        <v>0</v>
      </c>
      <c r="AL32" s="165">
        <f t="shared" si="13"/>
        <v>0</v>
      </c>
    </row>
    <row r="33" spans="2:38" ht="18.75" customHeight="1">
      <c r="B33" s="19" t="s">
        <v>18</v>
      </c>
      <c r="C33" s="159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</row>
    <row r="34" spans="2:38" ht="18.75" customHeight="1">
      <c r="B34" s="90" t="s">
        <v>30</v>
      </c>
      <c r="C34" s="160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</row>
    <row r="35" spans="2:38" ht="18.75" customHeight="1">
      <c r="B35" s="19" t="s">
        <v>31</v>
      </c>
      <c r="C35" s="159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</row>
    <row r="36" spans="2:38" ht="18.75" customHeight="1">
      <c r="B36" s="90" t="s">
        <v>32</v>
      </c>
      <c r="C36" s="160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</row>
    <row r="37" spans="2:38" ht="18.75" customHeight="1">
      <c r="B37" s="19" t="s">
        <v>33</v>
      </c>
      <c r="C37" s="159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</row>
    <row r="38" spans="2:38" ht="18.75" customHeight="1">
      <c r="B38" s="90" t="s">
        <v>34</v>
      </c>
      <c r="C38" s="160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</row>
    <row r="39" spans="2:38" ht="18.75" customHeight="1">
      <c r="B39" s="19" t="s">
        <v>35</v>
      </c>
      <c r="C39" s="159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</row>
    <row r="40" spans="2:38" ht="18.75" customHeight="1">
      <c r="B40" s="90" t="s">
        <v>36</v>
      </c>
      <c r="C40" s="160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</row>
    <row r="41" spans="2:38" ht="18.75" customHeight="1">
      <c r="B41" s="19"/>
      <c r="C41" s="159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</row>
    <row r="42" spans="2:38" s="10" customFormat="1" ht="18.75" customHeight="1">
      <c r="B42" s="153" t="s">
        <v>16</v>
      </c>
      <c r="C42" s="22" t="s">
        <v>3</v>
      </c>
      <c r="D42" s="165">
        <f>SUMIF(D43:D46,"&lt;1E+307")</f>
        <v>0</v>
      </c>
      <c r="E42" s="165">
        <f t="shared" ref="E42:AJ42" si="14">SUMIF(E43:E46,"&lt;1E+307")</f>
        <v>0</v>
      </c>
      <c r="F42" s="165">
        <f t="shared" si="14"/>
        <v>0</v>
      </c>
      <c r="G42" s="165">
        <f t="shared" si="14"/>
        <v>0</v>
      </c>
      <c r="H42" s="165">
        <f t="shared" si="14"/>
        <v>0</v>
      </c>
      <c r="I42" s="165">
        <f t="shared" si="14"/>
        <v>0</v>
      </c>
      <c r="J42" s="165">
        <f t="shared" si="14"/>
        <v>0</v>
      </c>
      <c r="K42" s="165">
        <f t="shared" si="14"/>
        <v>0</v>
      </c>
      <c r="L42" s="165">
        <f t="shared" si="14"/>
        <v>0</v>
      </c>
      <c r="M42" s="165">
        <f t="shared" si="14"/>
        <v>0</v>
      </c>
      <c r="N42" s="165">
        <f t="shared" si="14"/>
        <v>0</v>
      </c>
      <c r="O42" s="165">
        <f t="shared" si="14"/>
        <v>0</v>
      </c>
      <c r="P42" s="165">
        <f t="shared" si="14"/>
        <v>0</v>
      </c>
      <c r="Q42" s="165">
        <f t="shared" si="14"/>
        <v>0</v>
      </c>
      <c r="R42" s="165">
        <f t="shared" si="14"/>
        <v>0</v>
      </c>
      <c r="S42" s="165">
        <f t="shared" si="14"/>
        <v>0</v>
      </c>
      <c r="T42" s="165">
        <f t="shared" si="14"/>
        <v>0</v>
      </c>
      <c r="U42" s="165">
        <f t="shared" si="14"/>
        <v>0</v>
      </c>
      <c r="V42" s="165">
        <f t="shared" si="14"/>
        <v>0</v>
      </c>
      <c r="W42" s="165">
        <f t="shared" si="14"/>
        <v>0</v>
      </c>
      <c r="X42" s="165">
        <f t="shared" si="14"/>
        <v>0</v>
      </c>
      <c r="Y42" s="165">
        <f t="shared" si="14"/>
        <v>0</v>
      </c>
      <c r="Z42" s="165">
        <f t="shared" si="14"/>
        <v>0</v>
      </c>
      <c r="AA42" s="165">
        <f t="shared" si="14"/>
        <v>0</v>
      </c>
      <c r="AB42" s="165">
        <f t="shared" si="14"/>
        <v>0</v>
      </c>
      <c r="AC42" s="165">
        <f t="shared" si="14"/>
        <v>0</v>
      </c>
      <c r="AD42" s="165">
        <f t="shared" si="14"/>
        <v>0</v>
      </c>
      <c r="AE42" s="165">
        <f t="shared" si="14"/>
        <v>0</v>
      </c>
      <c r="AF42" s="165">
        <f t="shared" si="14"/>
        <v>0</v>
      </c>
      <c r="AG42" s="165">
        <f t="shared" si="14"/>
        <v>0</v>
      </c>
      <c r="AH42" s="165">
        <f t="shared" si="14"/>
        <v>0</v>
      </c>
      <c r="AI42" s="165">
        <f t="shared" si="14"/>
        <v>0</v>
      </c>
      <c r="AJ42" s="165">
        <f t="shared" si="14"/>
        <v>0</v>
      </c>
      <c r="AK42" s="165">
        <f t="shared" ref="AK42:AL42" si="15">SUMIF(AK43:AK46,"&lt;1E+307")</f>
        <v>0</v>
      </c>
      <c r="AL42" s="165">
        <f t="shared" si="15"/>
        <v>0</v>
      </c>
    </row>
    <row r="43" spans="2:38" ht="18.75" customHeight="1">
      <c r="B43" s="19" t="s">
        <v>19</v>
      </c>
      <c r="C43" s="159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</row>
    <row r="44" spans="2:38" ht="18.75" customHeight="1">
      <c r="B44" s="90" t="s">
        <v>74</v>
      </c>
      <c r="C44" s="160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</row>
    <row r="45" spans="2:38" ht="18.75" customHeight="1">
      <c r="B45" s="19" t="s">
        <v>20</v>
      </c>
      <c r="C45" s="159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</row>
    <row r="46" spans="2:38" ht="18.75" customHeight="1">
      <c r="B46" s="90" t="s">
        <v>29</v>
      </c>
      <c r="C46" s="160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</row>
    <row r="47" spans="2:38" ht="18.75" customHeight="1">
      <c r="B47" s="19"/>
      <c r="C47" s="159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</row>
    <row r="48" spans="2:38" s="10" customFormat="1" ht="18.75" customHeight="1">
      <c r="B48" s="153" t="s">
        <v>128</v>
      </c>
      <c r="C48" s="22" t="s">
        <v>3</v>
      </c>
      <c r="D48" s="165">
        <f>SUMIF(D49:D54,"&lt;1E+307")</f>
        <v>0</v>
      </c>
      <c r="E48" s="165">
        <f t="shared" ref="E48:AJ48" si="16">SUMIF(E49:E54,"&lt;1E+307")</f>
        <v>0</v>
      </c>
      <c r="F48" s="165">
        <f t="shared" si="16"/>
        <v>0</v>
      </c>
      <c r="G48" s="165">
        <f t="shared" si="16"/>
        <v>0</v>
      </c>
      <c r="H48" s="165">
        <f t="shared" si="16"/>
        <v>0</v>
      </c>
      <c r="I48" s="165">
        <f t="shared" si="16"/>
        <v>0</v>
      </c>
      <c r="J48" s="165">
        <f t="shared" si="16"/>
        <v>0</v>
      </c>
      <c r="K48" s="165">
        <f t="shared" si="16"/>
        <v>0</v>
      </c>
      <c r="L48" s="165">
        <f t="shared" si="16"/>
        <v>0</v>
      </c>
      <c r="M48" s="165">
        <f t="shared" si="16"/>
        <v>0</v>
      </c>
      <c r="N48" s="165">
        <f t="shared" si="16"/>
        <v>0</v>
      </c>
      <c r="O48" s="165">
        <f t="shared" si="16"/>
        <v>0</v>
      </c>
      <c r="P48" s="165">
        <f t="shared" si="16"/>
        <v>0</v>
      </c>
      <c r="Q48" s="165">
        <f t="shared" si="16"/>
        <v>0</v>
      </c>
      <c r="R48" s="165">
        <f t="shared" si="16"/>
        <v>0</v>
      </c>
      <c r="S48" s="165">
        <f t="shared" si="16"/>
        <v>0</v>
      </c>
      <c r="T48" s="165">
        <f t="shared" si="16"/>
        <v>0</v>
      </c>
      <c r="U48" s="165">
        <f t="shared" si="16"/>
        <v>0</v>
      </c>
      <c r="V48" s="165">
        <f t="shared" si="16"/>
        <v>0</v>
      </c>
      <c r="W48" s="165">
        <f t="shared" si="16"/>
        <v>0</v>
      </c>
      <c r="X48" s="165">
        <f t="shared" si="16"/>
        <v>0</v>
      </c>
      <c r="Y48" s="165">
        <f t="shared" si="16"/>
        <v>0</v>
      </c>
      <c r="Z48" s="165">
        <f t="shared" si="16"/>
        <v>0</v>
      </c>
      <c r="AA48" s="165">
        <f t="shared" si="16"/>
        <v>0</v>
      </c>
      <c r="AB48" s="165">
        <f t="shared" si="16"/>
        <v>0</v>
      </c>
      <c r="AC48" s="165">
        <f t="shared" si="16"/>
        <v>0</v>
      </c>
      <c r="AD48" s="165">
        <f t="shared" si="16"/>
        <v>0</v>
      </c>
      <c r="AE48" s="165">
        <f t="shared" si="16"/>
        <v>0</v>
      </c>
      <c r="AF48" s="165">
        <f t="shared" si="16"/>
        <v>0</v>
      </c>
      <c r="AG48" s="165">
        <f t="shared" si="16"/>
        <v>0</v>
      </c>
      <c r="AH48" s="165">
        <f t="shared" si="16"/>
        <v>0</v>
      </c>
      <c r="AI48" s="165">
        <f t="shared" si="16"/>
        <v>0</v>
      </c>
      <c r="AJ48" s="165">
        <f t="shared" si="16"/>
        <v>0</v>
      </c>
      <c r="AK48" s="165">
        <f t="shared" ref="AK48:AL48" si="17">SUMIF(AK49:AK54,"&lt;1E+307")</f>
        <v>0</v>
      </c>
      <c r="AL48" s="165">
        <f t="shared" si="17"/>
        <v>0</v>
      </c>
    </row>
    <row r="49" spans="2:38" ht="18.75" customHeight="1">
      <c r="B49" s="19" t="s">
        <v>129</v>
      </c>
      <c r="C49" s="159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</row>
    <row r="50" spans="2:38" ht="18.75" customHeight="1">
      <c r="B50" s="90" t="s">
        <v>130</v>
      </c>
      <c r="C50" s="160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</row>
    <row r="51" spans="2:38" ht="18.75" customHeight="1">
      <c r="B51" s="19" t="s">
        <v>133</v>
      </c>
      <c r="C51" s="159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</row>
    <row r="52" spans="2:38" ht="18.75" customHeight="1">
      <c r="B52" s="90" t="s">
        <v>134</v>
      </c>
      <c r="C52" s="160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</row>
    <row r="53" spans="2:38" ht="18.75" customHeight="1">
      <c r="B53" s="19" t="s">
        <v>135</v>
      </c>
      <c r="C53" s="159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</row>
    <row r="54" spans="2:38" ht="18.75" customHeight="1">
      <c r="B54" s="90" t="s">
        <v>131</v>
      </c>
      <c r="C54" s="160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</row>
    <row r="55" spans="2:38" ht="19.5" customHeight="1">
      <c r="B55" s="154"/>
      <c r="C55" s="161"/>
    </row>
  </sheetData>
  <pageMargins left="0.70866141732283472" right="0.70866141732283472" top="0.78740157480314965" bottom="0.78740157480314965" header="1.1811023622047245" footer="1.1811023622047245"/>
  <pageSetup paperSize="9" scale="19" orientation="portrait" r:id="rId1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5F28-BC90-43FB-BD1D-6ED452D6437D}">
  <sheetPr>
    <tabColor theme="6" tint="0.79998168889431442"/>
  </sheetPr>
  <dimension ref="A1:AT18"/>
  <sheetViews>
    <sheetView showGridLines="0" zoomScale="80" zoomScaleNormal="80" zoomScalePageLayoutView="150" workbookViewId="0">
      <pane xSplit="3" ySplit="9" topLeftCell="AE10" activePane="bottomRight" state="frozenSplit"/>
      <selection activeCell="B1" sqref="B1"/>
      <selection pane="topRight" activeCell="B1" sqref="B1"/>
      <selection pane="bottomLeft" activeCell="B1" sqref="B1"/>
      <selection pane="bottomRight" activeCell="C1" sqref="C1"/>
    </sheetView>
  </sheetViews>
  <sheetFormatPr baseColWidth="10" defaultColWidth="11.42578125" defaultRowHeight="15" outlineLevelCol="1"/>
  <cols>
    <col min="1" max="1" width="5.42578125" style="40" customWidth="1"/>
    <col min="2" max="2" width="45.28515625" style="40" customWidth="1"/>
    <col min="3" max="3" width="57.5703125" style="40" customWidth="1"/>
    <col min="4" max="18" width="16.7109375" style="40" hidden="1" customWidth="1" outlineLevel="1"/>
    <col min="19" max="19" width="16.7109375" style="40" hidden="1" customWidth="1" outlineLevel="1" collapsed="1"/>
    <col min="20" max="22" width="16.7109375" style="40" hidden="1" customWidth="1" outlineLevel="1"/>
    <col min="23" max="23" width="13" style="40" hidden="1" customWidth="1" outlineLevel="1"/>
    <col min="24" max="24" width="16.7109375" style="40" customWidth="1" collapsed="1"/>
    <col min="25" max="32" width="16.7109375" style="40" customWidth="1"/>
    <col min="33" max="37" width="16.85546875" style="40" customWidth="1"/>
    <col min="38" max="38" width="16.7109375" style="40" customWidth="1" outlineLevel="1"/>
    <col min="39" max="39" width="11" style="40" customWidth="1"/>
    <col min="40" max="41" width="16.7109375" style="40" hidden="1" customWidth="1" outlineLevel="1"/>
    <col min="42" max="42" width="16.7109375" style="40" customWidth="1" collapsed="1"/>
    <col min="43" max="43" width="13.42578125" style="40" customWidth="1"/>
    <col min="44" max="44" width="13.42578125" style="40" hidden="1" customWidth="1" outlineLevel="1"/>
    <col min="45" max="45" width="16.7109375" style="40" hidden="1" customWidth="1" outlineLevel="1"/>
    <col min="46" max="46" width="11.42578125" style="40" collapsed="1"/>
    <col min="47" max="16384" width="11.42578125" style="40"/>
  </cols>
  <sheetData>
    <row r="1" spans="1:45" ht="28.5" customHeight="1">
      <c r="B1" s="114" t="s">
        <v>58</v>
      </c>
      <c r="C1" s="116" t="s">
        <v>57</v>
      </c>
      <c r="D1" s="109"/>
      <c r="E1" s="110"/>
      <c r="F1" s="110"/>
      <c r="G1" s="110"/>
      <c r="H1" s="110"/>
      <c r="I1" s="111"/>
      <c r="J1" s="111"/>
      <c r="K1" s="111"/>
      <c r="AG1" s="68"/>
      <c r="AH1" s="68"/>
      <c r="AI1" s="68"/>
      <c r="AJ1" s="68"/>
      <c r="AK1" s="68"/>
      <c r="AM1" s="39"/>
    </row>
    <row r="2" spans="1:45" ht="28.5" customHeight="1">
      <c r="B2" s="114" t="s">
        <v>56</v>
      </c>
      <c r="C2" s="116" t="s">
        <v>127</v>
      </c>
      <c r="D2" s="109"/>
      <c r="E2" s="110"/>
      <c r="F2" s="110"/>
      <c r="G2" s="110"/>
      <c r="H2" s="110"/>
      <c r="I2" s="111"/>
      <c r="J2" s="111"/>
      <c r="K2" s="111"/>
      <c r="AG2" s="68"/>
      <c r="AH2" s="68"/>
      <c r="AI2" s="68"/>
      <c r="AJ2" s="68"/>
      <c r="AK2" s="68"/>
    </row>
    <row r="3" spans="1:45" ht="28.5" customHeight="1">
      <c r="B3" s="114" t="s">
        <v>55</v>
      </c>
      <c r="C3" s="99">
        <f ca="1">TODAY()</f>
        <v>45727</v>
      </c>
      <c r="D3" s="109"/>
      <c r="E3" s="110"/>
      <c r="F3" s="110"/>
      <c r="G3" s="110"/>
      <c r="H3" s="110"/>
      <c r="I3" s="111"/>
      <c r="J3" s="111"/>
      <c r="K3" s="111"/>
      <c r="AG3" s="69"/>
      <c r="AH3" s="69"/>
      <c r="AI3" s="69"/>
      <c r="AJ3" s="69"/>
      <c r="AK3" s="69"/>
    </row>
    <row r="4" spans="1:45" ht="54" customHeight="1">
      <c r="B4" s="114" t="s">
        <v>54</v>
      </c>
      <c r="C4" s="116" t="s">
        <v>272</v>
      </c>
      <c r="D4" s="109"/>
      <c r="E4" s="110"/>
      <c r="F4" s="110"/>
      <c r="G4" s="110"/>
      <c r="H4" s="110"/>
      <c r="I4" s="111"/>
      <c r="J4" s="111"/>
      <c r="K4" s="111"/>
    </row>
    <row r="5" spans="1:45" ht="28.5" customHeight="1">
      <c r="B5" s="114" t="s">
        <v>53</v>
      </c>
      <c r="C5" s="116" t="s">
        <v>66</v>
      </c>
      <c r="D5" s="109"/>
      <c r="E5" s="110"/>
      <c r="F5" s="110"/>
      <c r="G5" s="110"/>
      <c r="H5" s="110"/>
      <c r="I5" s="111"/>
      <c r="J5" s="111"/>
      <c r="K5" s="111"/>
    </row>
    <row r="6" spans="1:45" ht="28.5" customHeight="1">
      <c r="B6" s="115" t="s">
        <v>52</v>
      </c>
      <c r="C6" s="116" t="s">
        <v>51</v>
      </c>
      <c r="D6" s="112"/>
      <c r="E6" s="113"/>
      <c r="F6" s="113"/>
      <c r="G6" s="113"/>
      <c r="H6" s="113"/>
      <c r="I6" s="111"/>
      <c r="J6" s="111"/>
      <c r="K6" s="111"/>
      <c r="AG6" s="68"/>
      <c r="AH6" s="68"/>
      <c r="AI6" s="68"/>
      <c r="AJ6" s="68"/>
      <c r="AK6" s="68"/>
    </row>
    <row r="7" spans="1:45" ht="22.5" customHeight="1"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G7" s="70"/>
      <c r="AH7" s="70"/>
      <c r="AI7" s="70"/>
      <c r="AJ7" s="70"/>
      <c r="AK7" s="70"/>
      <c r="AM7" s="70"/>
      <c r="AN7" s="70"/>
      <c r="AO7" s="70"/>
      <c r="AP7" s="70"/>
      <c r="AQ7" s="70"/>
      <c r="AR7" s="70"/>
      <c r="AS7" s="70"/>
    </row>
    <row r="8" spans="1:45" ht="22.5" customHeight="1"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G8" s="68"/>
      <c r="AH8" s="68"/>
      <c r="AI8" s="68"/>
      <c r="AJ8" s="68"/>
      <c r="AK8" s="68"/>
      <c r="AM8" s="70"/>
      <c r="AN8" s="70"/>
      <c r="AO8" s="70"/>
      <c r="AP8" s="70"/>
      <c r="AQ8" s="70"/>
      <c r="AR8" s="70"/>
      <c r="AS8" s="70"/>
    </row>
    <row r="9" spans="1:45" ht="33.75" customHeight="1">
      <c r="B9" s="71" t="s">
        <v>76</v>
      </c>
      <c r="C9" s="71"/>
      <c r="D9" s="72">
        <v>1990</v>
      </c>
      <c r="E9" s="71">
        <v>1991</v>
      </c>
      <c r="F9" s="72">
        <v>1992</v>
      </c>
      <c r="G9" s="71">
        <v>1993</v>
      </c>
      <c r="H9" s="72">
        <v>1994</v>
      </c>
      <c r="I9" s="71">
        <v>1995</v>
      </c>
      <c r="J9" s="72">
        <v>1996</v>
      </c>
      <c r="K9" s="71">
        <v>1997</v>
      </c>
      <c r="L9" s="72">
        <v>1998</v>
      </c>
      <c r="M9" s="71">
        <v>1999</v>
      </c>
      <c r="N9" s="72">
        <v>2000</v>
      </c>
      <c r="O9" s="71">
        <v>2001</v>
      </c>
      <c r="P9" s="72">
        <v>2002</v>
      </c>
      <c r="Q9" s="71">
        <v>2003</v>
      </c>
      <c r="R9" s="72">
        <v>2004</v>
      </c>
      <c r="S9" s="71">
        <v>2005</v>
      </c>
      <c r="T9" s="72">
        <v>2006</v>
      </c>
      <c r="U9" s="71">
        <v>2007</v>
      </c>
      <c r="V9" s="72">
        <v>2008</v>
      </c>
      <c r="W9" s="71">
        <v>2009</v>
      </c>
      <c r="X9" s="72">
        <v>2010</v>
      </c>
      <c r="Y9" s="71">
        <v>2011</v>
      </c>
      <c r="Z9" s="72">
        <v>2012</v>
      </c>
      <c r="AA9" s="71">
        <v>2013</v>
      </c>
      <c r="AB9" s="72">
        <v>2014</v>
      </c>
      <c r="AC9" s="71">
        <v>2015</v>
      </c>
      <c r="AD9" s="72">
        <v>2016</v>
      </c>
      <c r="AE9" s="71">
        <v>2017</v>
      </c>
      <c r="AF9" s="72">
        <v>2018</v>
      </c>
      <c r="AG9" s="72">
        <v>2019</v>
      </c>
      <c r="AH9" s="72">
        <v>2020</v>
      </c>
      <c r="AI9" s="72">
        <v>2021</v>
      </c>
      <c r="AJ9" s="72">
        <v>2022</v>
      </c>
      <c r="AK9" s="72">
        <v>2023</v>
      </c>
      <c r="AL9" s="72" t="s">
        <v>274</v>
      </c>
      <c r="AM9" s="72"/>
      <c r="AN9" s="72" t="s">
        <v>100</v>
      </c>
      <c r="AO9" s="72" t="s">
        <v>68</v>
      </c>
      <c r="AP9" s="72"/>
      <c r="AQ9" s="72" t="s">
        <v>101</v>
      </c>
      <c r="AR9" s="72"/>
      <c r="AS9" s="72" t="s">
        <v>77</v>
      </c>
    </row>
    <row r="10" spans="1:45" ht="18.75" customHeight="1">
      <c r="A10" s="223"/>
      <c r="B10" s="103" t="s">
        <v>43</v>
      </c>
      <c r="C10" s="73"/>
      <c r="D10" s="74">
        <f>THG!D9/1000</f>
        <v>474.77220432062688</v>
      </c>
      <c r="E10" s="74">
        <f>THG!E9/1000</f>
        <v>459.94485788760244</v>
      </c>
      <c r="F10" s="74">
        <f>THG!F9/1000</f>
        <v>435.6750083566215</v>
      </c>
      <c r="G10" s="74">
        <f>THG!G9/1000</f>
        <v>425.92488838227894</v>
      </c>
      <c r="H10" s="74">
        <f>THG!H9/1000</f>
        <v>420.01432191734034</v>
      </c>
      <c r="I10" s="74">
        <f>THG!I9/1000</f>
        <v>406.93598225156478</v>
      </c>
      <c r="J10" s="74">
        <f>THG!J9/1000</f>
        <v>412.87203705447979</v>
      </c>
      <c r="K10" s="74">
        <f>THG!K9/1000</f>
        <v>391.00900720995315</v>
      </c>
      <c r="L10" s="74">
        <f>THG!L9/1000</f>
        <v>390.95946894831872</v>
      </c>
      <c r="M10" s="74">
        <f>THG!M9/1000</f>
        <v>379.98786231606846</v>
      </c>
      <c r="N10" s="74">
        <f>THG!N9/1000</f>
        <v>390.84367773868405</v>
      </c>
      <c r="O10" s="74">
        <f>THG!O9/1000</f>
        <v>400.84131582847908</v>
      </c>
      <c r="P10" s="74">
        <f>THG!P9/1000</f>
        <v>400.95639258131467</v>
      </c>
      <c r="Q10" s="74">
        <f>THG!Q9/1000</f>
        <v>416.99850586833435</v>
      </c>
      <c r="R10" s="74">
        <f>THG!R9/1000</f>
        <v>411.60083483799747</v>
      </c>
      <c r="S10" s="74">
        <f>THG!S9/1000</f>
        <v>402.60094170216644</v>
      </c>
      <c r="T10" s="74">
        <f>THG!T9/1000</f>
        <v>403.12692360359995</v>
      </c>
      <c r="U10" s="74">
        <f>THG!U9/1000</f>
        <v>406.0349079138669</v>
      </c>
      <c r="V10" s="74">
        <f>THG!V9/1000</f>
        <v>388.01231817760117</v>
      </c>
      <c r="W10" s="74">
        <f>THG!W9/1000</f>
        <v>361.91391669621538</v>
      </c>
      <c r="X10" s="74">
        <f>THG!X9/1000</f>
        <v>372.63707419132606</v>
      </c>
      <c r="Y10" s="74">
        <f>THG!Y9/1000</f>
        <v>367.70970245773702</v>
      </c>
      <c r="Z10" s="74">
        <f>THG!Z9/1000</f>
        <v>379.34788118184304</v>
      </c>
      <c r="AA10" s="74">
        <f>THG!AA9/1000</f>
        <v>383.70231874884473</v>
      </c>
      <c r="AB10" s="74">
        <f>THG!AB9/1000</f>
        <v>362.725928282155</v>
      </c>
      <c r="AC10" s="74">
        <f>THG!AC9/1000</f>
        <v>351.32140085469337</v>
      </c>
      <c r="AD10" s="74">
        <f>THG!AD9/1000</f>
        <v>346.32871761389902</v>
      </c>
      <c r="AE10" s="74">
        <f>THG!AE9/1000</f>
        <v>326.50069104369044</v>
      </c>
      <c r="AF10" s="74">
        <f>THG!AF9/1000</f>
        <v>310.8510664619198</v>
      </c>
      <c r="AG10" s="74">
        <f>THG!AG9/1000</f>
        <v>258.28302963996083</v>
      </c>
      <c r="AH10" s="74">
        <f>THG!AH9/1000</f>
        <v>219.03765428068593</v>
      </c>
      <c r="AI10" s="74">
        <f>THG!AI9/1000</f>
        <v>246.421430453738</v>
      </c>
      <c r="AJ10" s="74">
        <f>THG!AJ9/1000</f>
        <v>256.67041825982216</v>
      </c>
      <c r="AK10" s="74">
        <f>THG!AK9/1000</f>
        <v>202.58241705156237</v>
      </c>
      <c r="AL10" s="74">
        <f>THG!AL9/1000</f>
        <v>184.99388634258281</v>
      </c>
      <c r="AM10" s="74"/>
      <c r="AN10" s="74">
        <v>280</v>
      </c>
      <c r="AO10" s="74"/>
      <c r="AP10" s="74"/>
      <c r="AQ10" s="138">
        <v>108</v>
      </c>
      <c r="AR10" s="74"/>
      <c r="AS10" s="74"/>
    </row>
    <row r="11" spans="1:45" ht="18.75" customHeight="1">
      <c r="A11" s="223"/>
      <c r="B11" s="104" t="s">
        <v>44</v>
      </c>
      <c r="C11" s="75"/>
      <c r="D11" s="76">
        <f>THG!D14/1000</f>
        <v>277.7030828141236</v>
      </c>
      <c r="E11" s="76">
        <f>THG!E14/1000</f>
        <v>252.3759643288675</v>
      </c>
      <c r="F11" s="76">
        <f>THG!F14/1000</f>
        <v>241.06698950376713</v>
      </c>
      <c r="G11" s="76">
        <f>THG!G14/1000</f>
        <v>231.34568923747653</v>
      </c>
      <c r="H11" s="76">
        <f>THG!H14/1000</f>
        <v>234.90362143561188</v>
      </c>
      <c r="I11" s="76">
        <f>THG!I14/1000</f>
        <v>236.78528481656502</v>
      </c>
      <c r="J11" s="76">
        <f>THG!J14/1000</f>
        <v>225.57071931643364</v>
      </c>
      <c r="K11" s="76">
        <f>THG!K14/1000</f>
        <v>230.12972744884351</v>
      </c>
      <c r="L11" s="76">
        <f>THG!L14/1000</f>
        <v>213.14065542267767</v>
      </c>
      <c r="M11" s="76">
        <f>THG!M14/1000</f>
        <v>203.03184220372023</v>
      </c>
      <c r="N11" s="76">
        <f>THG!N14/1000</f>
        <v>202.59785035506664</v>
      </c>
      <c r="O11" s="76">
        <f>THG!O14/1000</f>
        <v>191.9757813343426</v>
      </c>
      <c r="P11" s="76">
        <f>THG!P14/1000</f>
        <v>189.76124792463227</v>
      </c>
      <c r="Q11" s="76">
        <f>THG!Q14/1000</f>
        <v>189.09781904205934</v>
      </c>
      <c r="R11" s="76">
        <f>THG!R14/1000</f>
        <v>189.12105735574218</v>
      </c>
      <c r="S11" s="76">
        <f>THG!S14/1000</f>
        <v>186.38010528444084</v>
      </c>
      <c r="T11" s="76">
        <f>THG!T14/1000</f>
        <v>190.92928168808112</v>
      </c>
      <c r="U11" s="76">
        <f>THG!U14/1000</f>
        <v>199.08093744502912</v>
      </c>
      <c r="V11" s="76">
        <f>THG!V14/1000</f>
        <v>195.58361002161675</v>
      </c>
      <c r="W11" s="76">
        <f>THG!W14/1000</f>
        <v>169.9450876249542</v>
      </c>
      <c r="X11" s="76">
        <f>THG!X14/1000</f>
        <v>184.05948457331422</v>
      </c>
      <c r="Y11" s="76">
        <f>THG!Y14/1000</f>
        <v>182.19594994908741</v>
      </c>
      <c r="Z11" s="76">
        <f>THG!Z14/1000</f>
        <v>177.38101732424116</v>
      </c>
      <c r="AA11" s="76">
        <f>THG!AA14/1000</f>
        <v>177.04641104837395</v>
      </c>
      <c r="AB11" s="76">
        <f>THG!AB14/1000</f>
        <v>176.28929367334746</v>
      </c>
      <c r="AC11" s="76">
        <f>THG!AC14/1000</f>
        <v>183.01875305607606</v>
      </c>
      <c r="AD11" s="76">
        <f>THG!AD14/1000</f>
        <v>186.83780660551463</v>
      </c>
      <c r="AE11" s="76">
        <f>THG!AE14/1000</f>
        <v>192.58411720378123</v>
      </c>
      <c r="AF11" s="76">
        <f>THG!AF14/1000</f>
        <v>184.96605950656451</v>
      </c>
      <c r="AG11" s="76">
        <f>THG!AG14/1000</f>
        <v>179.31832500051271</v>
      </c>
      <c r="AH11" s="76">
        <f>THG!AH14/1000</f>
        <v>172.5772476282672</v>
      </c>
      <c r="AI11" s="76">
        <f>THG!AI14/1000</f>
        <v>180.29299681195212</v>
      </c>
      <c r="AJ11" s="76">
        <f>THG!AJ14/1000</f>
        <v>164.3651491960417</v>
      </c>
      <c r="AK11" s="76">
        <f>THG!AK14/1000</f>
        <v>152.92373867221883</v>
      </c>
      <c r="AL11" s="76">
        <f>THG!AL14/1000</f>
        <v>153.00727310826122</v>
      </c>
      <c r="AM11" s="76"/>
      <c r="AN11" s="76">
        <v>186</v>
      </c>
      <c r="AO11" s="76"/>
      <c r="AP11" s="76"/>
      <c r="AQ11" s="139">
        <v>118</v>
      </c>
      <c r="AR11" s="76"/>
      <c r="AS11" s="76"/>
    </row>
    <row r="12" spans="1:45" ht="18.75" customHeight="1">
      <c r="A12" s="223"/>
      <c r="B12" s="103" t="s">
        <v>50</v>
      </c>
      <c r="C12" s="73"/>
      <c r="D12" s="74">
        <f>THG!D21/1000</f>
        <v>210.02731690962818</v>
      </c>
      <c r="E12" s="74">
        <f>THG!E21/1000</f>
        <v>208.43229499818264</v>
      </c>
      <c r="F12" s="74">
        <f>THG!F21/1000</f>
        <v>190.27747448718816</v>
      </c>
      <c r="G12" s="74">
        <f>THG!G21/1000</f>
        <v>197.00633128836631</v>
      </c>
      <c r="H12" s="74">
        <f>THG!H21/1000</f>
        <v>186.22497845574915</v>
      </c>
      <c r="I12" s="74">
        <f>THG!I21/1000</f>
        <v>187.71141388219434</v>
      </c>
      <c r="J12" s="74">
        <f>THG!J21/1000</f>
        <v>210.88496426407156</v>
      </c>
      <c r="K12" s="74">
        <f>THG!K21/1000</f>
        <v>197.65454104077065</v>
      </c>
      <c r="L12" s="74">
        <f>THG!L21/1000</f>
        <v>189.5109555123064</v>
      </c>
      <c r="M12" s="74">
        <f>THG!M21/1000</f>
        <v>172.83156155428856</v>
      </c>
      <c r="N12" s="74">
        <f>THG!N21/1000</f>
        <v>166.78955078696234</v>
      </c>
      <c r="O12" s="74">
        <f>THG!O21/1000</f>
        <v>187.07952935138243</v>
      </c>
      <c r="P12" s="74">
        <f>THG!P21/1000</f>
        <v>174.08090022703956</v>
      </c>
      <c r="Q12" s="74">
        <f>THG!Q21/1000</f>
        <v>161.40351842421612</v>
      </c>
      <c r="R12" s="74">
        <f>THG!R21/1000</f>
        <v>153.22395620302893</v>
      </c>
      <c r="S12" s="74">
        <f>THG!S21/1000</f>
        <v>157.33087762895428</v>
      </c>
      <c r="T12" s="74">
        <f>THG!T21/1000</f>
        <v>163.7482479631976</v>
      </c>
      <c r="U12" s="74">
        <f>THG!U21/1000</f>
        <v>122.05723154044206</v>
      </c>
      <c r="V12" s="74">
        <f>THG!V21/1000</f>
        <v>147.25169074958632</v>
      </c>
      <c r="W12" s="74">
        <f>THG!W21/1000</f>
        <v>137.174290129832</v>
      </c>
      <c r="X12" s="74">
        <f>THG!X21/1000</f>
        <v>142.93341752797332</v>
      </c>
      <c r="Y12" s="74">
        <f>THG!Y21/1000</f>
        <v>124.65741541667212</v>
      </c>
      <c r="Z12" s="74">
        <f>THG!Z21/1000</f>
        <v>130.36904622321549</v>
      </c>
      <c r="AA12" s="74">
        <f>THG!AA21/1000</f>
        <v>139.10951038067077</v>
      </c>
      <c r="AB12" s="74">
        <f>THG!AB21/1000</f>
        <v>120.28892829877765</v>
      </c>
      <c r="AC12" s="74">
        <f>THG!AC21/1000</f>
        <v>126.23930646152454</v>
      </c>
      <c r="AD12" s="74">
        <f>THG!AD21/1000</f>
        <v>121.50468550106342</v>
      </c>
      <c r="AE12" s="74">
        <f>THG!AE21/1000</f>
        <v>121.12996153484768</v>
      </c>
      <c r="AF12" s="74">
        <f>THG!AF21/1000</f>
        <v>116.10950283078863</v>
      </c>
      <c r="AG12" s="74">
        <f>THG!AG21/1000</f>
        <v>122.2961261778985</v>
      </c>
      <c r="AH12" s="74">
        <f>THG!AH21/1000</f>
        <v>122.49711358722101</v>
      </c>
      <c r="AI12" s="74">
        <f>THG!AI21/1000</f>
        <v>119.28678221917644</v>
      </c>
      <c r="AJ12" s="74">
        <f>THG!AJ21/1000</f>
        <v>110.51463428514957</v>
      </c>
      <c r="AK12" s="74">
        <f>THG!AK21/1000</f>
        <v>102.93300019870455</v>
      </c>
      <c r="AL12" s="74">
        <f>THG!AL21/1000</f>
        <v>100.5362340247776</v>
      </c>
      <c r="AM12" s="74"/>
      <c r="AN12" s="74">
        <v>118</v>
      </c>
      <c r="AO12" s="74"/>
      <c r="AP12" s="74"/>
      <c r="AQ12" s="138">
        <v>67</v>
      </c>
      <c r="AR12" s="74"/>
      <c r="AS12" s="74"/>
    </row>
    <row r="13" spans="1:45" ht="18.75" customHeight="1">
      <c r="A13" s="223"/>
      <c r="B13" s="104" t="s">
        <v>45</v>
      </c>
      <c r="C13" s="75"/>
      <c r="D13" s="76">
        <f>THG!D26/1000</f>
        <v>163.35536656567436</v>
      </c>
      <c r="E13" s="76">
        <f>THG!E26/1000</f>
        <v>166.30323541426711</v>
      </c>
      <c r="F13" s="76">
        <f>THG!F26/1000</f>
        <v>172.16793098221859</v>
      </c>
      <c r="G13" s="76">
        <f>THG!G26/1000</f>
        <v>176.49286153080547</v>
      </c>
      <c r="H13" s="76">
        <f>THG!H26/1000</f>
        <v>172.46321803963471</v>
      </c>
      <c r="I13" s="76">
        <f>THG!I26/1000</f>
        <v>176.12247581564034</v>
      </c>
      <c r="J13" s="76">
        <f>THG!J26/1000</f>
        <v>175.70637719000189</v>
      </c>
      <c r="K13" s="76">
        <f>THG!K26/1000</f>
        <v>176.12093224476894</v>
      </c>
      <c r="L13" s="76">
        <f>THG!L26/1000</f>
        <v>179.39653155795173</v>
      </c>
      <c r="M13" s="76">
        <f>THG!M26/1000</f>
        <v>184.52966147660155</v>
      </c>
      <c r="N13" s="76">
        <f>THG!N26/1000</f>
        <v>180.58638104834094</v>
      </c>
      <c r="O13" s="76">
        <f>THG!O26/1000</f>
        <v>176.69376623778118</v>
      </c>
      <c r="P13" s="76">
        <f>THG!P26/1000</f>
        <v>174.183316555429</v>
      </c>
      <c r="Q13" s="76">
        <f>THG!Q26/1000</f>
        <v>165.21587860522547</v>
      </c>
      <c r="R13" s="76">
        <f>THG!R26/1000</f>
        <v>159.62934165772</v>
      </c>
      <c r="S13" s="76">
        <f>THG!S26/1000</f>
        <v>155.55923573389376</v>
      </c>
      <c r="T13" s="76">
        <f>THG!T26/1000</f>
        <v>160.27751039308768</v>
      </c>
      <c r="U13" s="76">
        <f>THG!U26/1000</f>
        <v>152.43839757481345</v>
      </c>
      <c r="V13" s="76">
        <f>THG!V26/1000</f>
        <v>157.36210474090399</v>
      </c>
      <c r="W13" s="76">
        <f>THG!W26/1000</f>
        <v>151.98056305632267</v>
      </c>
      <c r="X13" s="76">
        <f>THG!X26/1000</f>
        <v>150.44816555507819</v>
      </c>
      <c r="Y13" s="76">
        <f>THG!Y26/1000</f>
        <v>152.30492939454015</v>
      </c>
      <c r="Z13" s="76">
        <f>THG!Z26/1000</f>
        <v>150.64147898377649</v>
      </c>
      <c r="AA13" s="76">
        <f>THG!AA26/1000</f>
        <v>154.68203767280488</v>
      </c>
      <c r="AB13" s="76">
        <f>THG!AB26/1000</f>
        <v>153.85280678059556</v>
      </c>
      <c r="AC13" s="76">
        <f>THG!AC26/1000</f>
        <v>161.68112466493332</v>
      </c>
      <c r="AD13" s="76">
        <f>THG!AD26/1000</f>
        <v>163.80382202437119</v>
      </c>
      <c r="AE13" s="76">
        <f>THG!AE26/1000</f>
        <v>165.17642155141422</v>
      </c>
      <c r="AF13" s="76">
        <f>THG!AF26/1000</f>
        <v>165.38061576785373</v>
      </c>
      <c r="AG13" s="76">
        <f>THG!AG26/1000</f>
        <v>164.32397006995399</v>
      </c>
      <c r="AH13" s="76">
        <f>THG!AH26/1000</f>
        <v>146.38574268349811</v>
      </c>
      <c r="AI13" s="76">
        <f>THG!AI26/1000</f>
        <v>144.5990299664432</v>
      </c>
      <c r="AJ13" s="76">
        <f>THG!AJ26/1000</f>
        <v>147.69087538349461</v>
      </c>
      <c r="AK13" s="76">
        <f>THG!AK26/1000</f>
        <v>145.13115862852723</v>
      </c>
      <c r="AL13" s="76">
        <f>THG!AL26/1000</f>
        <v>143.05476824815369</v>
      </c>
      <c r="AM13" s="76"/>
      <c r="AN13" s="76">
        <v>150</v>
      </c>
      <c r="AO13" s="76"/>
      <c r="AP13" s="76"/>
      <c r="AQ13" s="139">
        <v>85</v>
      </c>
      <c r="AR13" s="76"/>
      <c r="AS13" s="76"/>
    </row>
    <row r="14" spans="1:45" ht="18.75" customHeight="1">
      <c r="A14" s="223"/>
      <c r="B14" s="103" t="s">
        <v>46</v>
      </c>
      <c r="C14" s="73"/>
      <c r="D14" s="74">
        <f>THG!D32/1000</f>
        <v>84.989159157195388</v>
      </c>
      <c r="E14" s="74">
        <f>THG!E32/1000</f>
        <v>76.414722910866018</v>
      </c>
      <c r="F14" s="74">
        <f>THG!F32/1000</f>
        <v>74.196456761874998</v>
      </c>
      <c r="G14" s="74">
        <f>THG!G32/1000</f>
        <v>73.737009260326161</v>
      </c>
      <c r="H14" s="74">
        <f>THG!H32/1000</f>
        <v>73.708352552295224</v>
      </c>
      <c r="I14" s="74">
        <f>THG!I32/1000</f>
        <v>74.070770312600871</v>
      </c>
      <c r="J14" s="74">
        <f>THG!J32/1000</f>
        <v>75.722874919217702</v>
      </c>
      <c r="K14" s="74">
        <f>THG!K32/1000</f>
        <v>73.354393818033927</v>
      </c>
      <c r="L14" s="74">
        <f>THG!L32/1000</f>
        <v>72.729918002482592</v>
      </c>
      <c r="M14" s="74">
        <f>THG!M32/1000</f>
        <v>73.34390407395135</v>
      </c>
      <c r="N14" s="74">
        <f>THG!N32/1000</f>
        <v>71.957098586081315</v>
      </c>
      <c r="O14" s="74">
        <f>THG!O32/1000</f>
        <v>72.672208100070733</v>
      </c>
      <c r="P14" s="74">
        <f>THG!P32/1000</f>
        <v>70.326875222558328</v>
      </c>
      <c r="Q14" s="74">
        <f>THG!Q32/1000</f>
        <v>69.935715178059596</v>
      </c>
      <c r="R14" s="74">
        <f>THG!R32/1000</f>
        <v>68.241325940250007</v>
      </c>
      <c r="S14" s="74">
        <f>THG!S32/1000</f>
        <v>68.042400412697788</v>
      </c>
      <c r="T14" s="74">
        <f>THG!T32/1000</f>
        <v>67.427155463717369</v>
      </c>
      <c r="U14" s="74">
        <f>THG!U32/1000</f>
        <v>67.137703039660437</v>
      </c>
      <c r="V14" s="74">
        <f>THG!V32/1000</f>
        <v>67.986800413934574</v>
      </c>
      <c r="W14" s="74">
        <f>THG!W32/1000</f>
        <v>67.802208959146654</v>
      </c>
      <c r="X14" s="74">
        <f>THG!X32/1000</f>
        <v>67.979732572680106</v>
      </c>
      <c r="Y14" s="74">
        <f>THG!Y32/1000</f>
        <v>68.557851113472566</v>
      </c>
      <c r="Z14" s="74">
        <f>THG!Z32/1000</f>
        <v>68.774308158249795</v>
      </c>
      <c r="AA14" s="74">
        <f>THG!AA32/1000</f>
        <v>69.757923386340764</v>
      </c>
      <c r="AB14" s="74">
        <f>THG!AB32/1000</f>
        <v>71.330205942200607</v>
      </c>
      <c r="AC14" s="74">
        <f>THG!AC32/1000</f>
        <v>71.121936723247856</v>
      </c>
      <c r="AD14" s="74">
        <f>THG!AD32/1000</f>
        <v>70.907819051021434</v>
      </c>
      <c r="AE14" s="74">
        <f>THG!AE32/1000</f>
        <v>69.315035291692283</v>
      </c>
      <c r="AF14" s="74">
        <f>THG!AF32/1000</f>
        <v>68.419822064311361</v>
      </c>
      <c r="AG14" s="74">
        <f>THG!AG32/1000</f>
        <v>67.220276792805208</v>
      </c>
      <c r="AH14" s="74">
        <f>THG!AH32/1000</f>
        <v>66.374140111942722</v>
      </c>
      <c r="AI14" s="74">
        <f>THG!AI32/1000</f>
        <v>64.911079484091061</v>
      </c>
      <c r="AJ14" s="74">
        <f>THG!AJ32/1000</f>
        <v>63.902022380878968</v>
      </c>
      <c r="AK14" s="74">
        <f>THG!AK32/1000</f>
        <v>62.959986688698208</v>
      </c>
      <c r="AL14" s="74">
        <f>THG!AL32/1000</f>
        <v>62.110993623271767</v>
      </c>
      <c r="AM14" s="74"/>
      <c r="AN14" s="74">
        <v>70</v>
      </c>
      <c r="AO14" s="74"/>
      <c r="AP14" s="74"/>
      <c r="AQ14" s="138">
        <v>56</v>
      </c>
      <c r="AR14" s="74"/>
      <c r="AS14" s="74"/>
    </row>
    <row r="15" spans="1:45" ht="18.75" customHeight="1">
      <c r="A15" s="223"/>
      <c r="B15" s="104" t="s">
        <v>49</v>
      </c>
      <c r="C15" s="75"/>
      <c r="D15" s="76">
        <f>THG!D42/1000</f>
        <v>41.550208209684953</v>
      </c>
      <c r="E15" s="76">
        <f>THG!E42/1000</f>
        <v>43.096386910464247</v>
      </c>
      <c r="F15" s="76">
        <f>THG!F42/1000</f>
        <v>43.690552789579272</v>
      </c>
      <c r="G15" s="76">
        <f>THG!G42/1000</f>
        <v>43.410594571395734</v>
      </c>
      <c r="H15" s="76">
        <f>THG!H42/1000</f>
        <v>42.331817932506027</v>
      </c>
      <c r="I15" s="76">
        <f>THG!I42/1000</f>
        <v>41.064653718503017</v>
      </c>
      <c r="J15" s="76">
        <f>THG!J42/1000</f>
        <v>39.269523659810076</v>
      </c>
      <c r="K15" s="76">
        <f>THG!K42/1000</f>
        <v>35.964229901993093</v>
      </c>
      <c r="L15" s="76">
        <f>THG!L42/1000</f>
        <v>33.433339536685175</v>
      </c>
      <c r="M15" s="76">
        <f>THG!M42/1000</f>
        <v>31.44701707691074</v>
      </c>
      <c r="N15" s="76">
        <f>THG!N42/1000</f>
        <v>29.572460032452174</v>
      </c>
      <c r="O15" s="76">
        <f>THG!O42/1000</f>
        <v>27.56882034829254</v>
      </c>
      <c r="P15" s="76">
        <f>THG!P42/1000</f>
        <v>25.848040379858077</v>
      </c>
      <c r="Q15" s="76">
        <f>THG!Q42/1000</f>
        <v>24.062269037338847</v>
      </c>
      <c r="R15" s="76">
        <f>THG!R42/1000</f>
        <v>21.489217535313593</v>
      </c>
      <c r="S15" s="76">
        <f>THG!S42/1000</f>
        <v>19.830658338951437</v>
      </c>
      <c r="T15" s="76">
        <f>THG!T42/1000</f>
        <v>17.758310821011335</v>
      </c>
      <c r="U15" s="76">
        <f>THG!U42/1000</f>
        <v>16.236759090921446</v>
      </c>
      <c r="V15" s="76">
        <f>THG!V42/1000</f>
        <v>14.839270182314303</v>
      </c>
      <c r="W15" s="76">
        <f>THG!W42/1000</f>
        <v>13.445488095760965</v>
      </c>
      <c r="X15" s="76">
        <f>THG!X42/1000</f>
        <v>12.191951804297188</v>
      </c>
      <c r="Y15" s="76">
        <f>THG!Y42/1000</f>
        <v>11.309311816960442</v>
      </c>
      <c r="Z15" s="76">
        <f>THG!Z42/1000</f>
        <v>10.4834533416133</v>
      </c>
      <c r="AA15" s="76">
        <f>THG!AA42/1000</f>
        <v>9.6877307795737373</v>
      </c>
      <c r="AB15" s="76">
        <f>THG!AB42/1000</f>
        <v>9.0623234858579433</v>
      </c>
      <c r="AC15" s="76">
        <f>THG!AC42/1000</f>
        <v>8.443476428390623</v>
      </c>
      <c r="AD15" s="76">
        <f>THG!AD42/1000</f>
        <v>7.9043758078803714</v>
      </c>
      <c r="AE15" s="76">
        <f>THG!AE42/1000</f>
        <v>7.5258270473636477</v>
      </c>
      <c r="AF15" s="76">
        <f>THG!AF42/1000</f>
        <v>7.1312752606781604</v>
      </c>
      <c r="AG15" s="76">
        <f>THG!AG42/1000</f>
        <v>6.6063236655840223</v>
      </c>
      <c r="AH15" s="76">
        <f>THG!AH42/1000</f>
        <v>6.1214434396600081</v>
      </c>
      <c r="AI15" s="76">
        <f>THG!AI42/1000</f>
        <v>5.9154360453990105</v>
      </c>
      <c r="AJ15" s="76">
        <f>THG!AJ42/1000</f>
        <v>5.6496139083900427</v>
      </c>
      <c r="AK15" s="76">
        <f>THG!AK42/1000</f>
        <v>5.4900232878830186</v>
      </c>
      <c r="AL15" s="76">
        <f>THG!AL42/1000</f>
        <v>5.355503945398727</v>
      </c>
      <c r="AM15" s="76"/>
      <c r="AN15" s="76">
        <v>9</v>
      </c>
      <c r="AO15" s="76"/>
      <c r="AP15" s="76"/>
      <c r="AQ15" s="139">
        <v>4</v>
      </c>
      <c r="AR15" s="76"/>
      <c r="AS15" s="76"/>
    </row>
    <row r="16" spans="1:45" s="37" customFormat="1" ht="18.75" customHeight="1">
      <c r="A16" s="223"/>
      <c r="B16" s="106" t="s">
        <v>48</v>
      </c>
      <c r="C16" s="107"/>
      <c r="D16" s="108">
        <f t="shared" ref="D16:W16" si="0">SUM(D10:D15)</f>
        <v>1252.3973379769336</v>
      </c>
      <c r="E16" s="108">
        <f t="shared" si="0"/>
        <v>1206.5674624502499</v>
      </c>
      <c r="F16" s="108">
        <f t="shared" si="0"/>
        <v>1157.0744128812496</v>
      </c>
      <c r="G16" s="108">
        <f t="shared" si="0"/>
        <v>1147.9173742706491</v>
      </c>
      <c r="H16" s="108">
        <f t="shared" si="0"/>
        <v>1129.6463103331373</v>
      </c>
      <c r="I16" s="108">
        <f t="shared" si="0"/>
        <v>1122.6905807970684</v>
      </c>
      <c r="J16" s="108">
        <f t="shared" si="0"/>
        <v>1140.0264964040148</v>
      </c>
      <c r="K16" s="108">
        <f t="shared" si="0"/>
        <v>1104.2328316643634</v>
      </c>
      <c r="L16" s="108">
        <f t="shared" si="0"/>
        <v>1079.1708689804225</v>
      </c>
      <c r="M16" s="108">
        <f t="shared" si="0"/>
        <v>1045.1718487015407</v>
      </c>
      <c r="N16" s="108">
        <f t="shared" si="0"/>
        <v>1042.3470185475874</v>
      </c>
      <c r="O16" s="108">
        <f t="shared" si="0"/>
        <v>1056.8314212003486</v>
      </c>
      <c r="P16" s="108">
        <f t="shared" si="0"/>
        <v>1035.1567728908319</v>
      </c>
      <c r="Q16" s="108">
        <f t="shared" si="0"/>
        <v>1026.7137061552337</v>
      </c>
      <c r="R16" s="108">
        <f t="shared" si="0"/>
        <v>1003.3057335300523</v>
      </c>
      <c r="S16" s="108">
        <f t="shared" si="0"/>
        <v>989.74421910110459</v>
      </c>
      <c r="T16" s="108">
        <f t="shared" si="0"/>
        <v>1003.2674299326951</v>
      </c>
      <c r="U16" s="108">
        <f t="shared" si="0"/>
        <v>962.9859366047333</v>
      </c>
      <c r="V16" s="108">
        <f t="shared" si="0"/>
        <v>971.03579428595708</v>
      </c>
      <c r="W16" s="108">
        <f t="shared" si="0"/>
        <v>902.26155456223194</v>
      </c>
      <c r="X16" s="108">
        <f t="shared" ref="X16:AF16" si="1">SUM(X10:X15)</f>
        <v>930.24982622466905</v>
      </c>
      <c r="Y16" s="108">
        <f t="shared" si="1"/>
        <v>906.73516014846973</v>
      </c>
      <c r="Z16" s="108">
        <f t="shared" si="1"/>
        <v>916.99718521293926</v>
      </c>
      <c r="AA16" s="108">
        <f t="shared" si="1"/>
        <v>933.98593201660879</v>
      </c>
      <c r="AB16" s="108">
        <f t="shared" si="1"/>
        <v>893.54948646293417</v>
      </c>
      <c r="AC16" s="108">
        <f t="shared" si="1"/>
        <v>901.8259981888657</v>
      </c>
      <c r="AD16" s="108">
        <f t="shared" si="1"/>
        <v>897.2872266037499</v>
      </c>
      <c r="AE16" s="108">
        <f t="shared" si="1"/>
        <v>882.23205367278956</v>
      </c>
      <c r="AF16" s="108">
        <f t="shared" si="1"/>
        <v>852.85834189211619</v>
      </c>
      <c r="AG16" s="108">
        <f t="shared" ref="AG16:AN16" si="2">SUM(AG10:AG15)</f>
        <v>798.04805134671517</v>
      </c>
      <c r="AH16" s="108">
        <f t="shared" ref="AH16:AI16" si="3">SUM(AH10:AH15)</f>
        <v>732.993341731275</v>
      </c>
      <c r="AI16" s="108">
        <f t="shared" si="3"/>
        <v>761.42675498079984</v>
      </c>
      <c r="AJ16" s="108">
        <f t="shared" ref="AJ16:AK16" si="4">SUM(AJ10:AJ15)</f>
        <v>748.79271341377705</v>
      </c>
      <c r="AK16" s="108">
        <f t="shared" si="4"/>
        <v>672.0203245275942</v>
      </c>
      <c r="AL16" s="108">
        <f t="shared" ref="AL16" si="5">SUM(AL10:AL15)</f>
        <v>649.05865929244578</v>
      </c>
      <c r="AM16" s="108"/>
      <c r="AN16" s="108">
        <f t="shared" si="2"/>
        <v>813</v>
      </c>
      <c r="AO16" s="108"/>
      <c r="AP16" s="108"/>
      <c r="AQ16" s="108">
        <f t="shared" ref="AQ16" si="6">SUM(AQ10:AQ15)</f>
        <v>438</v>
      </c>
      <c r="AR16" s="108"/>
      <c r="AS16" s="108"/>
    </row>
    <row r="17" spans="2:45" s="37" customFormat="1" ht="18.75" customHeight="1">
      <c r="B17" s="105" t="s">
        <v>47</v>
      </c>
      <c r="C17" s="77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>
        <f>$D$16*0.6</f>
        <v>751.43840278616017</v>
      </c>
      <c r="AP17" s="78"/>
      <c r="AQ17" s="78"/>
      <c r="AR17" s="78"/>
      <c r="AS17" s="78">
        <f>$D$16*0.05</f>
        <v>62.619866898846681</v>
      </c>
    </row>
    <row r="18" spans="2:45" ht="18.75" customHeight="1"/>
  </sheetData>
  <mergeCells count="1">
    <mergeCell ref="A10:A16"/>
  </mergeCells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Benannte Bereiche</vt:lpstr>
      </vt:variant>
      <vt:variant>
        <vt:i4>9</vt:i4>
      </vt:variant>
    </vt:vector>
  </HeadingPairs>
  <TitlesOfParts>
    <vt:vector size="35" baseType="lpstr">
      <vt:lpstr>THG-Trends</vt:lpstr>
      <vt:lpstr>THG-Anteile</vt:lpstr>
      <vt:lpstr>THG kurz</vt:lpstr>
      <vt:lpstr>THG</vt:lpstr>
      <vt:lpstr>CO2</vt:lpstr>
      <vt:lpstr>CH4</vt:lpstr>
      <vt:lpstr>N2O</vt:lpstr>
      <vt:lpstr>F-Gase</vt:lpstr>
      <vt:lpstr>Daten Sektorgrafik</vt:lpstr>
      <vt:lpstr>Sektorgrafik UBA_CI</vt:lpstr>
      <vt:lpstr>Daten Zielpfadgrafik</vt:lpstr>
      <vt:lpstr>Grafik Zielpfad</vt:lpstr>
      <vt:lpstr>Grafik Zielpfadänderung JEGM</vt:lpstr>
      <vt:lpstr>Daten Sektor Energiew.</vt:lpstr>
      <vt:lpstr>Grafik Sektor Energiew.</vt:lpstr>
      <vt:lpstr>Daten Sektor Industrie</vt:lpstr>
      <vt:lpstr>Grafik Sektor Industrie</vt:lpstr>
      <vt:lpstr>Daten Sektor Gebäude</vt:lpstr>
      <vt:lpstr>Grafik Sektor Gebäude</vt:lpstr>
      <vt:lpstr>Daten Sektor Verkehr</vt:lpstr>
      <vt:lpstr>Grafik Sektor Verkehr</vt:lpstr>
      <vt:lpstr>Daten Sektor Landwirtschaft</vt:lpstr>
      <vt:lpstr>Grafik Sektor Landwirtschaft</vt:lpstr>
      <vt:lpstr>Daten Sektor Abfallwirtschaft</vt:lpstr>
      <vt:lpstr>Grafik Sektor Abfallwirtschaft</vt:lpstr>
      <vt:lpstr>Unsicherheiten</vt:lpstr>
      <vt:lpstr>'CH4'!Druckbereich</vt:lpstr>
      <vt:lpstr>'CO2'!Druckbereich</vt:lpstr>
      <vt:lpstr>'F-Gase'!Druckbereich</vt:lpstr>
      <vt:lpstr>N2O!Druckbereich</vt:lpstr>
      <vt:lpstr>THG!Druckbereich</vt:lpstr>
      <vt:lpstr>'THG kurz'!Druckbereich</vt:lpstr>
      <vt:lpstr>'THG-Anteile'!Druckbereich</vt:lpstr>
      <vt:lpstr>'THG-Trends'!Druckbereich</vt:lpstr>
      <vt:lpstr>Unsicherheiten!Druckbereich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Gniffke, Patrick</dc:creator>
  <cp:lastModifiedBy>Günther, Dirk</cp:lastModifiedBy>
  <dcterms:created xsi:type="dcterms:W3CDTF">2019-05-28T12:42:15Z</dcterms:created>
  <dcterms:modified xsi:type="dcterms:W3CDTF">2025-03-13T10:55:15Z</dcterms:modified>
</cp:coreProperties>
</file>